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1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7.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2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2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29.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3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4"/>
  <workbookPr filterPrivacy="1" codeName="ThisWorkbook" defaultThemeVersion="124226"/>
  <xr:revisionPtr revIDLastSave="0" documentId="13_ncr:1_{8FD709F7-56ED-4A1E-81DF-307ECAFA2F46}" xr6:coauthVersionLast="36" xr6:coauthVersionMax="36" xr10:uidLastSave="{00000000-0000-0000-0000-000000000000}"/>
  <workbookProtection workbookAlgorithmName="SHA-512" workbookHashValue="z3m9AXvozVK4TQw5nfCNhT1inlV2qGKQskE5YKIlKpw+tIK/cMKB+9YInJIrcQOY9ZFTAvX9FyyKSvsEt6zm8Q==" workbookSaltValue="1jynKaAgmmv5ifPDZXq87g==" workbookSpinCount="100000" lockStructure="1"/>
  <bookViews>
    <workbookView xWindow="-110" yWindow="-110" windowWidth="20730" windowHeight="11760" firstSheet="1" activeTab="1" xr2:uid="{00000000-000D-0000-FFFF-FFFF00000000}"/>
  </bookViews>
  <sheets>
    <sheet name="【入力】暑さ対策計算シート (2)" sheetId="16" state="hidden" r:id="rId1"/>
    <sheet name="①" sheetId="21" r:id="rId2"/>
    <sheet name="②" sheetId="45" r:id="rId3"/>
    <sheet name="③" sheetId="44" r:id="rId4"/>
    <sheet name="入力" sheetId="3" r:id="rId5"/>
    <sheet name="結果" sheetId="6" r:id="rId6"/>
    <sheet name="原油換算 " sheetId="42" r:id="rId7"/>
    <sheet name="入力値の簡易計算シート" sheetId="54" r:id="rId8"/>
    <sheet name="ヘルプ" sheetId="57" r:id="rId9"/>
    <sheet name="区域" sheetId="17" state="hidden" r:id="rId10"/>
    <sheet name="暑さ対策の提案について" sheetId="12" state="hidden" r:id="rId11"/>
    <sheet name="実効温度差（ETD)諸言" sheetId="7" state="hidden" r:id="rId12"/>
    <sheet name="熱負荷計算シート (2)" sheetId="19" state="hidden" r:id="rId13"/>
    <sheet name="熱貫流率計算" sheetId="11" state="hidden" r:id="rId14"/>
    <sheet name="外壁実効温度差（ETD)一覧表" sheetId="8" state="hidden" r:id="rId15"/>
    <sheet name="標準日射取得量1" sheetId="9" state="hidden" r:id="rId16"/>
    <sheet name="温度条件他根拠" sheetId="14" state="hidden" r:id="rId17"/>
    <sheet name="さいたま市" sheetId="41" state="hidden" r:id="rId18"/>
    <sheet name="さいたま市屋根遮熱" sheetId="28" state="hidden" r:id="rId19"/>
    <sheet name="さいたま市屋根断熱" sheetId="47" state="hidden" r:id="rId20"/>
    <sheet name="さいたま市外壁遮熱" sheetId="31" state="hidden" r:id="rId21"/>
    <sheet name="さいたま市外壁断熱" sheetId="48" state="hidden" r:id="rId22"/>
    <sheet name="さいたま市窓遮熱" sheetId="38" state="hidden" r:id="rId23"/>
    <sheet name="さいたま市窓断熱" sheetId="32" state="hidden" r:id="rId24"/>
    <sheet name="熊谷市" sheetId="4" state="hidden" r:id="rId25"/>
    <sheet name="熊谷市屋根遮熱" sheetId="29" state="hidden" r:id="rId26"/>
    <sheet name="熊谷市屋根断熱" sheetId="50" state="hidden" r:id="rId27"/>
    <sheet name="熊谷市外壁遮熱" sheetId="33" state="hidden" r:id="rId28"/>
    <sheet name="熊谷市外壁断熱" sheetId="51" state="hidden" r:id="rId29"/>
    <sheet name="熊谷市窓遮熱" sheetId="39" state="hidden" r:id="rId30"/>
    <sheet name="熊谷市窓断熱" sheetId="34" state="hidden" r:id="rId31"/>
    <sheet name="秩父市" sheetId="5" state="hidden" r:id="rId32"/>
    <sheet name="秩父市屋根遮熱" sheetId="30" state="hidden" r:id="rId33"/>
    <sheet name="秩父市屋根断熱" sheetId="52" state="hidden" r:id="rId34"/>
    <sheet name="秩父市外壁遮熱" sheetId="35" state="hidden" r:id="rId35"/>
    <sheet name="秩父市外壁断熱" sheetId="53" state="hidden" r:id="rId36"/>
    <sheet name="秩父市窓遮熱" sheetId="40" state="hidden" r:id="rId37"/>
    <sheet name="秩父市窓断熱" sheetId="36" state="hidden" r:id="rId38"/>
    <sheet name="【根拠】日射係数" sheetId="13" state="hidden" r:id="rId39"/>
    <sheet name="（追加）方位別標準時間" sheetId="55" state="hidden" r:id="rId40"/>
    <sheet name="（例示）対策後の熱貫流率計算根拠" sheetId="56" state="hidden" r:id="rId41"/>
  </sheets>
  <externalReferences>
    <externalReference r:id="rId42"/>
  </externalReferences>
  <definedNames>
    <definedName name="inv補正COP" localSheetId="2">[1]空調導入前算定!$BB$29:$BM$53</definedName>
    <definedName name="inv補正COP" localSheetId="3">[1]空調導入前算定!$BB$29:$BM$53</definedName>
    <definedName name="inv補正COP" localSheetId="6">[1]空調導入前算定!$BB$29:$BM$53</definedName>
    <definedName name="inv補正COP">[1]空調導入前算定!$BB$29:$BM$53</definedName>
    <definedName name="_xlnm.Print_Area" localSheetId="39">'（追加）方位別標準時間'!$A$1:$H$39</definedName>
    <definedName name="_xlnm.Print_Area" localSheetId="40">'（例示）対策後の熱貫流率計算根拠'!$A$1:$N$52</definedName>
    <definedName name="_xlnm.Print_Area" localSheetId="38">【根拠】日射係数!$A$1:$P$36</definedName>
    <definedName name="_xlnm.Print_Area" localSheetId="0">'【入力】暑さ対策計算シート (2)'!$A$1:$K$119</definedName>
    <definedName name="_xlnm.Print_Area" localSheetId="1">①!$A$1:$AH$31</definedName>
    <definedName name="_xlnm.Print_Area" localSheetId="2">②!$A$1:$AH$48</definedName>
    <definedName name="_xlnm.Print_Area" localSheetId="3">③!$A$2:$AJ$45</definedName>
    <definedName name="_xlnm.Print_Area" localSheetId="17">さいたま市!$A$1:$P$41</definedName>
    <definedName name="_xlnm.Print_Area" localSheetId="18">さいたま市屋根遮熱!$A$1:$P$55</definedName>
    <definedName name="_xlnm.Print_Area" localSheetId="19">さいたま市屋根断熱!$A$1:$P$55</definedName>
    <definedName name="_xlnm.Print_Area" localSheetId="20">さいたま市外壁遮熱!$A$1:$P$84</definedName>
    <definedName name="_xlnm.Print_Area" localSheetId="21">さいたま市外壁断熱!$A$1:$P$84</definedName>
    <definedName name="_xlnm.Print_Area" localSheetId="22">さいたま市窓遮熱!$A$1:$P$84</definedName>
    <definedName name="_xlnm.Print_Area" localSheetId="23">さいたま市窓断熱!$A$1:$P$84</definedName>
    <definedName name="_xlnm.Print_Area" localSheetId="8">ヘルプ!$A$1:$N$38</definedName>
    <definedName name="_xlnm.Print_Area" localSheetId="16">温度条件他根拠!$A$1:$J$94</definedName>
    <definedName name="_xlnm.Print_Area" localSheetId="14">'外壁実効温度差（ETD)一覧表'!$A$1:$AA$73</definedName>
    <definedName name="_xlnm.Print_Area" localSheetId="24">熊谷市!$A$1:$P$41</definedName>
    <definedName name="_xlnm.Print_Area" localSheetId="25">熊谷市屋根遮熱!$A$1:$P$55</definedName>
    <definedName name="_xlnm.Print_Area" localSheetId="26">熊谷市屋根断熱!$A$1:$P$55</definedName>
    <definedName name="_xlnm.Print_Area" localSheetId="27">熊谷市外壁遮熱!$A$1:$P$84</definedName>
    <definedName name="_xlnm.Print_Area" localSheetId="28">熊谷市外壁断熱!$A$1:$P$84</definedName>
    <definedName name="_xlnm.Print_Area" localSheetId="29">熊谷市窓遮熱!$A$1:$P$84</definedName>
    <definedName name="_xlnm.Print_Area" localSheetId="30">熊谷市窓断熱!$A$1:$P$84</definedName>
    <definedName name="_xlnm.Print_Area" localSheetId="5">結果!$A$1:$Q$117</definedName>
    <definedName name="_xlnm.Print_Area" localSheetId="6">'原油換算 '!$A$1:$O$18</definedName>
    <definedName name="_xlnm.Print_Area" localSheetId="11">'実効温度差（ETD)諸言'!$A$1:$K$58</definedName>
    <definedName name="_xlnm.Print_Area" localSheetId="10">暑さ対策の提案について!$A$1:$K$154</definedName>
    <definedName name="_xlnm.Print_Area" localSheetId="31">秩父市!$A$1:$P$41</definedName>
    <definedName name="_xlnm.Print_Area" localSheetId="32">秩父市屋根遮熱!$A$1:$P$55</definedName>
    <definedName name="_xlnm.Print_Area" localSheetId="33">秩父市屋根断熱!$A$1:$P$55</definedName>
    <definedName name="_xlnm.Print_Area" localSheetId="34">秩父市外壁遮熱!$A$1:$P$84</definedName>
    <definedName name="_xlnm.Print_Area" localSheetId="35">秩父市外壁断熱!$A$1:$P$84</definedName>
    <definedName name="_xlnm.Print_Area" localSheetId="36">秩父市窓遮熱!$A$1:$P$84</definedName>
    <definedName name="_xlnm.Print_Area" localSheetId="37">秩父市窓断熱!$A$1:$P$84</definedName>
    <definedName name="_xlnm.Print_Area" localSheetId="4">入力!$A$1:$L$149</definedName>
    <definedName name="_xlnm.Print_Area" localSheetId="7">入力値の簡易計算シート!$A$1:$M$56</definedName>
    <definedName name="_xlnm.Print_Area" localSheetId="13">熱貫流率計算!$A$1:$J$84</definedName>
    <definedName name="_xlnm.Print_Area" localSheetId="12">'熱負荷計算シート (2)'!$A$1:$O$87</definedName>
    <definedName name="_xlnm.Print_Area" localSheetId="15">標準日射取得量1!$A$1:$U$20</definedName>
    <definedName name="サービス業">①!$R$37:$R$41</definedName>
    <definedName name="医療・福祉">①!$P$37:$P$39</definedName>
    <definedName name="運輸業・郵便業">①!$H$37:$H$44</definedName>
    <definedName name="卸売業・小売業">①!$I$37:$I$48</definedName>
    <definedName name="学術研究・専門・技術サービス業">①!$L$37:$L$40</definedName>
    <definedName name="漁業">①!$B$37:$B$38</definedName>
    <definedName name="教育・学習支援業">①!$O$37:$O$38</definedName>
    <definedName name="金融業・保険業">①!$J$37:$J$42</definedName>
    <definedName name="建設業">①!$D$37:$D$39</definedName>
    <definedName name="鉱業・採石業・砂利採取業">①!$C$37</definedName>
    <definedName name="宿泊業・飲食サービス業">①!$M$37:$M$39</definedName>
    <definedName name="情報通信業">①!$G$37:$G$41</definedName>
    <definedName name="生活関連サービス業・娯楽業">①!$N$37:$N$39</definedName>
    <definedName name="製造業">①!$E$37:$E$60</definedName>
    <definedName name="大分類" localSheetId="2">[1]事業実施者・事業内容!$A$97:$R$97</definedName>
    <definedName name="大分類" localSheetId="3">[1]事業実施者・事業内容!$A$97:$R$97</definedName>
    <definedName name="大分類">①!$A$36:$R$36</definedName>
    <definedName name="電気・ガス・熱供給・水道業">①!$F$37:$F$40</definedName>
    <definedName name="農業・林業">①!$A$37:$A$38</definedName>
    <definedName name="不動産業・物品賃貸業">①!$K$37:$K$39</definedName>
    <definedName name="複合サービス事業">①!$Q$37:$Q$38</definedName>
  </definedNames>
  <calcPr calcId="191029"/>
</workbook>
</file>

<file path=xl/calcChain.xml><?xml version="1.0" encoding="utf-8"?>
<calcChain xmlns="http://schemas.openxmlformats.org/spreadsheetml/2006/main">
  <c r="I46" i="54" l="1"/>
  <c r="I29" i="54"/>
  <c r="I12" i="54"/>
  <c r="P46" i="3" l="1"/>
  <c r="P45" i="3"/>
  <c r="P42" i="3"/>
  <c r="P41" i="3"/>
  <c r="P44" i="3"/>
  <c r="P43" i="3"/>
  <c r="P40" i="3" l="1"/>
  <c r="V60" i="36" l="1"/>
  <c r="V59" i="36"/>
  <c r="V58" i="36"/>
  <c r="V57" i="36"/>
  <c r="V56" i="36"/>
  <c r="V55" i="36"/>
  <c r="V54" i="36"/>
  <c r="V53" i="36"/>
  <c r="V52" i="36"/>
  <c r="V51" i="36"/>
  <c r="V50" i="36"/>
  <c r="V49" i="36"/>
  <c r="U50" i="36"/>
  <c r="U51" i="36"/>
  <c r="U52" i="36"/>
  <c r="U53" i="36"/>
  <c r="U54" i="36"/>
  <c r="U55" i="36"/>
  <c r="U56" i="36"/>
  <c r="U57" i="36"/>
  <c r="U58" i="36"/>
  <c r="U59" i="36"/>
  <c r="U60" i="36"/>
  <c r="U49" i="36"/>
  <c r="P3" i="36"/>
  <c r="O3" i="36"/>
  <c r="N3" i="36"/>
  <c r="L3" i="36"/>
  <c r="K3" i="36"/>
  <c r="J3" i="36"/>
  <c r="V60" i="40"/>
  <c r="V59" i="40"/>
  <c r="V58" i="40"/>
  <c r="V57" i="40"/>
  <c r="V56" i="40"/>
  <c r="V55" i="40"/>
  <c r="V54" i="40"/>
  <c r="V53" i="40"/>
  <c r="V52" i="40"/>
  <c r="V51" i="40"/>
  <c r="V50" i="40"/>
  <c r="V49" i="40"/>
  <c r="U50" i="40"/>
  <c r="U51" i="40"/>
  <c r="U52" i="40"/>
  <c r="U53" i="40"/>
  <c r="U54" i="40"/>
  <c r="U55" i="40"/>
  <c r="U56" i="40"/>
  <c r="U57" i="40"/>
  <c r="U58" i="40"/>
  <c r="U59" i="40"/>
  <c r="U60" i="40"/>
  <c r="U49" i="40"/>
  <c r="S49" i="40"/>
  <c r="N14" i="40"/>
  <c r="K13" i="40"/>
  <c r="O13" i="40" s="1"/>
  <c r="P13" i="40" s="1"/>
  <c r="K12" i="40"/>
  <c r="O12" i="40" s="1"/>
  <c r="P12" i="40" s="1"/>
  <c r="P11" i="40"/>
  <c r="O11" i="40"/>
  <c r="K11" i="40"/>
  <c r="K10" i="40"/>
  <c r="O10" i="40" s="1"/>
  <c r="P10" i="40" s="1"/>
  <c r="O9" i="40"/>
  <c r="P9" i="40" s="1"/>
  <c r="K9" i="40"/>
  <c r="O8" i="40"/>
  <c r="P8" i="40" s="1"/>
  <c r="K8" i="40"/>
  <c r="K7" i="40"/>
  <c r="O7" i="40" s="1"/>
  <c r="P7" i="40" s="1"/>
  <c r="K6" i="40"/>
  <c r="O6" i="40" s="1"/>
  <c r="P6" i="40" s="1"/>
  <c r="P3" i="40"/>
  <c r="O3" i="40"/>
  <c r="N3" i="40"/>
  <c r="L3" i="40"/>
  <c r="K3" i="40"/>
  <c r="J3" i="40"/>
  <c r="O6" i="33"/>
  <c r="P6" i="33" s="1"/>
  <c r="S49" i="38"/>
  <c r="V60" i="53"/>
  <c r="V59" i="53"/>
  <c r="V58" i="53"/>
  <c r="V57" i="53"/>
  <c r="V56" i="53"/>
  <c r="V55" i="53"/>
  <c r="V54" i="53"/>
  <c r="V53" i="53"/>
  <c r="V52" i="53"/>
  <c r="V51" i="53"/>
  <c r="V50" i="53"/>
  <c r="V49" i="53"/>
  <c r="U50" i="53"/>
  <c r="U51" i="53"/>
  <c r="U52" i="53"/>
  <c r="U53" i="53"/>
  <c r="U54" i="53"/>
  <c r="U55" i="53"/>
  <c r="U56" i="53"/>
  <c r="U57" i="53"/>
  <c r="U58" i="53"/>
  <c r="U59" i="53"/>
  <c r="U60" i="53"/>
  <c r="U49" i="53"/>
  <c r="P3" i="53"/>
  <c r="O3" i="53"/>
  <c r="N3" i="53"/>
  <c r="L3" i="53"/>
  <c r="K3" i="53"/>
  <c r="J3" i="53"/>
  <c r="P14" i="40" l="1"/>
  <c r="V60" i="35"/>
  <c r="V59" i="35"/>
  <c r="V58" i="35"/>
  <c r="V57" i="35"/>
  <c r="V56" i="35"/>
  <c r="V55" i="35"/>
  <c r="V54" i="35"/>
  <c r="V53" i="35"/>
  <c r="V52" i="35"/>
  <c r="V51" i="35"/>
  <c r="V50" i="35"/>
  <c r="V49" i="35"/>
  <c r="U50" i="35"/>
  <c r="U51" i="35"/>
  <c r="U52" i="35"/>
  <c r="U53" i="35"/>
  <c r="U54" i="35"/>
  <c r="U55" i="35"/>
  <c r="U56" i="35"/>
  <c r="U57" i="35"/>
  <c r="U58" i="35"/>
  <c r="U59" i="35"/>
  <c r="U60" i="35"/>
  <c r="U49" i="35"/>
  <c r="K13" i="35"/>
  <c r="K12" i="35"/>
  <c r="O12" i="35" s="1"/>
  <c r="K11" i="35"/>
  <c r="O11" i="35" s="1"/>
  <c r="K10" i="35"/>
  <c r="O10" i="35" s="1"/>
  <c r="K9" i="35"/>
  <c r="K8" i="35"/>
  <c r="O8" i="35" s="1"/>
  <c r="K7" i="35"/>
  <c r="O7" i="35" s="1"/>
  <c r="K6" i="35"/>
  <c r="O6" i="35" s="1"/>
  <c r="P3" i="35"/>
  <c r="O3" i="35"/>
  <c r="N3" i="35"/>
  <c r="L3" i="35"/>
  <c r="K3" i="35"/>
  <c r="J3" i="35"/>
  <c r="V31" i="52"/>
  <c r="V30" i="52"/>
  <c r="V29" i="52"/>
  <c r="V28" i="52"/>
  <c r="V27" i="52"/>
  <c r="V26" i="52"/>
  <c r="V25" i="52"/>
  <c r="V24" i="52"/>
  <c r="V23" i="52"/>
  <c r="V22" i="52"/>
  <c r="V21" i="52"/>
  <c r="V20" i="52"/>
  <c r="U21" i="52"/>
  <c r="U22" i="52"/>
  <c r="U23" i="52"/>
  <c r="U24" i="52"/>
  <c r="U25" i="52"/>
  <c r="U26" i="52"/>
  <c r="U27" i="52"/>
  <c r="U28" i="52"/>
  <c r="U29" i="52"/>
  <c r="U30" i="52"/>
  <c r="U31" i="52"/>
  <c r="U20" i="52"/>
  <c r="V31" i="30"/>
  <c r="V30" i="30"/>
  <c r="V29" i="30"/>
  <c r="V28" i="30"/>
  <c r="V27" i="30"/>
  <c r="V26" i="30"/>
  <c r="V25" i="30"/>
  <c r="V24" i="30"/>
  <c r="V23" i="30"/>
  <c r="V22" i="30"/>
  <c r="V21" i="30"/>
  <c r="V20" i="30"/>
  <c r="U21" i="30"/>
  <c r="U22" i="30"/>
  <c r="U23" i="30"/>
  <c r="U24" i="30"/>
  <c r="U25" i="30"/>
  <c r="U26" i="30"/>
  <c r="U27" i="30"/>
  <c r="U28" i="30"/>
  <c r="U29" i="30"/>
  <c r="U30" i="30"/>
  <c r="U31" i="30"/>
  <c r="U20" i="30"/>
  <c r="C9" i="3"/>
  <c r="V60" i="34"/>
  <c r="V59" i="34"/>
  <c r="V58" i="34"/>
  <c r="V57" i="34"/>
  <c r="V56" i="34"/>
  <c r="V55" i="34"/>
  <c r="V54" i="34"/>
  <c r="V53" i="34"/>
  <c r="V52" i="34"/>
  <c r="V51" i="34"/>
  <c r="V50" i="34"/>
  <c r="V49" i="34"/>
  <c r="U50" i="34"/>
  <c r="U51" i="34"/>
  <c r="U52" i="34"/>
  <c r="U53" i="34"/>
  <c r="U54" i="34"/>
  <c r="U55" i="34"/>
  <c r="U56" i="34"/>
  <c r="U57" i="34"/>
  <c r="U58" i="34"/>
  <c r="U59" i="34"/>
  <c r="U60" i="34"/>
  <c r="U49" i="34"/>
  <c r="P3" i="34"/>
  <c r="O3" i="34"/>
  <c r="N3" i="34"/>
  <c r="L3" i="34"/>
  <c r="K3" i="34"/>
  <c r="J3" i="34"/>
  <c r="V60" i="39"/>
  <c r="V59" i="39"/>
  <c r="V58" i="39"/>
  <c r="V57" i="39"/>
  <c r="V56" i="39"/>
  <c r="V55" i="39"/>
  <c r="V54" i="39"/>
  <c r="V53" i="39"/>
  <c r="V52" i="39"/>
  <c r="V51" i="39"/>
  <c r="V50" i="39"/>
  <c r="V49" i="39"/>
  <c r="U50" i="39"/>
  <c r="U51" i="39"/>
  <c r="U52" i="39"/>
  <c r="U53" i="39"/>
  <c r="U54" i="39"/>
  <c r="U55" i="39"/>
  <c r="U56" i="39"/>
  <c r="U57" i="39"/>
  <c r="U58" i="39"/>
  <c r="U59" i="39"/>
  <c r="U60" i="39"/>
  <c r="U49" i="39"/>
  <c r="N14" i="39"/>
  <c r="O13" i="39"/>
  <c r="P13" i="39" s="1"/>
  <c r="K13" i="39"/>
  <c r="O12" i="39"/>
  <c r="P12" i="39"/>
  <c r="K12" i="39"/>
  <c r="O11" i="39"/>
  <c r="P11" i="39" s="1"/>
  <c r="K11" i="39"/>
  <c r="O10" i="39"/>
  <c r="P10" i="39" s="1"/>
  <c r="K10" i="39"/>
  <c r="O9" i="39"/>
  <c r="P9" i="39" s="1"/>
  <c r="K9" i="39"/>
  <c r="O8" i="39"/>
  <c r="P8" i="39" s="1"/>
  <c r="K8" i="39"/>
  <c r="O7" i="39"/>
  <c r="P7" i="39" s="1"/>
  <c r="K7" i="39"/>
  <c r="O6" i="39"/>
  <c r="P6" i="39" s="1"/>
  <c r="K6" i="39"/>
  <c r="P3" i="39"/>
  <c r="O3" i="39"/>
  <c r="N3" i="39"/>
  <c r="L3" i="39"/>
  <c r="K3" i="39"/>
  <c r="J3" i="39"/>
  <c r="K3" i="31"/>
  <c r="O9" i="35" l="1"/>
  <c r="O13" i="35"/>
  <c r="P14" i="39"/>
  <c r="S49" i="39" s="1"/>
  <c r="V60" i="51"/>
  <c r="V59" i="51"/>
  <c r="V58" i="51"/>
  <c r="V57" i="51"/>
  <c r="V56" i="51"/>
  <c r="V55" i="51"/>
  <c r="V54" i="51"/>
  <c r="V53" i="51"/>
  <c r="V52" i="51"/>
  <c r="V51" i="51"/>
  <c r="V50" i="51"/>
  <c r="V49" i="51"/>
  <c r="U50" i="51"/>
  <c r="U51" i="51"/>
  <c r="U52" i="51"/>
  <c r="U53" i="51"/>
  <c r="U54" i="51"/>
  <c r="U55" i="51"/>
  <c r="U56" i="51"/>
  <c r="U57" i="51"/>
  <c r="U58" i="51"/>
  <c r="U59" i="51"/>
  <c r="U60" i="51"/>
  <c r="U49" i="51"/>
  <c r="V60" i="33"/>
  <c r="V59" i="33"/>
  <c r="V58" i="33"/>
  <c r="V57" i="33"/>
  <c r="V56" i="33"/>
  <c r="V55" i="33"/>
  <c r="V54" i="33"/>
  <c r="V53" i="33"/>
  <c r="V52" i="33"/>
  <c r="V51" i="33"/>
  <c r="V50" i="33"/>
  <c r="V49" i="33"/>
  <c r="U50" i="33"/>
  <c r="U51" i="33"/>
  <c r="U52" i="33"/>
  <c r="U53" i="33"/>
  <c r="U54" i="33"/>
  <c r="U55" i="33"/>
  <c r="U56" i="33"/>
  <c r="U57" i="33"/>
  <c r="U58" i="33"/>
  <c r="U59" i="33"/>
  <c r="U60" i="33"/>
  <c r="U49" i="33"/>
  <c r="P3" i="51"/>
  <c r="O3" i="51"/>
  <c r="N3" i="51"/>
  <c r="L3" i="51"/>
  <c r="K3" i="51"/>
  <c r="J3" i="51"/>
  <c r="K13" i="33" l="1"/>
  <c r="K12" i="33"/>
  <c r="O12" i="33" s="1"/>
  <c r="K11" i="33"/>
  <c r="O11" i="33" s="1"/>
  <c r="K10" i="33"/>
  <c r="O10" i="33" s="1"/>
  <c r="K9" i="33"/>
  <c r="K8" i="33"/>
  <c r="O8" i="33" s="1"/>
  <c r="K7" i="33"/>
  <c r="O7" i="33" s="1"/>
  <c r="K6" i="33"/>
  <c r="P3" i="33"/>
  <c r="O3" i="33"/>
  <c r="N3" i="33"/>
  <c r="L3" i="33"/>
  <c r="K3" i="33"/>
  <c r="J3" i="33"/>
  <c r="V31" i="50"/>
  <c r="V30" i="50"/>
  <c r="V29" i="50"/>
  <c r="V28" i="50"/>
  <c r="V27" i="50"/>
  <c r="V26" i="50"/>
  <c r="V25" i="50"/>
  <c r="V24" i="50"/>
  <c r="V23" i="50"/>
  <c r="V22" i="50"/>
  <c r="V21" i="50"/>
  <c r="V20" i="50"/>
  <c r="U21" i="50"/>
  <c r="U22" i="50"/>
  <c r="U23" i="50"/>
  <c r="U24" i="50"/>
  <c r="U25" i="50"/>
  <c r="U26" i="50"/>
  <c r="U27" i="50"/>
  <c r="U28" i="50"/>
  <c r="U29" i="50"/>
  <c r="U30" i="50"/>
  <c r="U31" i="50"/>
  <c r="U20" i="50"/>
  <c r="V31" i="29"/>
  <c r="V30" i="29"/>
  <c r="V29" i="29"/>
  <c r="V28" i="29"/>
  <c r="V27" i="29"/>
  <c r="V26" i="29"/>
  <c r="V25" i="29"/>
  <c r="V24" i="29"/>
  <c r="V23" i="29"/>
  <c r="V22" i="29"/>
  <c r="V21" i="29"/>
  <c r="V20" i="29"/>
  <c r="U21" i="29"/>
  <c r="U22" i="29"/>
  <c r="U23" i="29"/>
  <c r="U24" i="29"/>
  <c r="U25" i="29"/>
  <c r="U26" i="29"/>
  <c r="U27" i="29"/>
  <c r="U28" i="29"/>
  <c r="U29" i="29"/>
  <c r="U30" i="29"/>
  <c r="U31" i="29"/>
  <c r="U20" i="29"/>
  <c r="V60" i="32"/>
  <c r="V59" i="32"/>
  <c r="V58" i="32"/>
  <c r="V57" i="32"/>
  <c r="V56" i="32"/>
  <c r="V55" i="32"/>
  <c r="V54" i="32"/>
  <c r="V53" i="32"/>
  <c r="V52" i="32"/>
  <c r="V51" i="32"/>
  <c r="V50" i="32"/>
  <c r="V49" i="32"/>
  <c r="U50" i="32"/>
  <c r="U51" i="32"/>
  <c r="U52" i="32"/>
  <c r="U53" i="32"/>
  <c r="U54" i="32"/>
  <c r="U55" i="32"/>
  <c r="U56" i="32"/>
  <c r="U57" i="32"/>
  <c r="U58" i="32"/>
  <c r="U59" i="32"/>
  <c r="U60" i="32"/>
  <c r="U49" i="32"/>
  <c r="P3" i="32"/>
  <c r="O3" i="32"/>
  <c r="N3" i="32"/>
  <c r="L3" i="32"/>
  <c r="K3" i="32"/>
  <c r="J3" i="32"/>
  <c r="V60" i="48"/>
  <c r="V59" i="48"/>
  <c r="V58" i="48"/>
  <c r="V57" i="48"/>
  <c r="V56" i="48"/>
  <c r="V55" i="48"/>
  <c r="V54" i="48"/>
  <c r="V53" i="48"/>
  <c r="V52" i="48"/>
  <c r="V51" i="48"/>
  <c r="V50" i="48"/>
  <c r="V49" i="48"/>
  <c r="U50" i="48"/>
  <c r="U51" i="48"/>
  <c r="U52" i="48"/>
  <c r="U53" i="48"/>
  <c r="U54" i="48"/>
  <c r="U55" i="48"/>
  <c r="U56" i="48"/>
  <c r="U57" i="48"/>
  <c r="U58" i="48"/>
  <c r="U59" i="48"/>
  <c r="U60" i="48"/>
  <c r="U49" i="48"/>
  <c r="P3" i="48"/>
  <c r="O3" i="48"/>
  <c r="N3" i="48"/>
  <c r="L3" i="48"/>
  <c r="K3" i="48"/>
  <c r="J3" i="48"/>
  <c r="O9" i="33" l="1"/>
  <c r="O13" i="33"/>
  <c r="P3" i="38"/>
  <c r="O3" i="38"/>
  <c r="N3" i="38"/>
  <c r="L3" i="38"/>
  <c r="K3" i="38"/>
  <c r="J3" i="38"/>
  <c r="P3" i="31"/>
  <c r="O3" i="31"/>
  <c r="N3" i="31"/>
  <c r="L3" i="31"/>
  <c r="J3" i="31"/>
  <c r="V60" i="31"/>
  <c r="V59" i="31"/>
  <c r="V58" i="31"/>
  <c r="V57" i="31"/>
  <c r="V56" i="31"/>
  <c r="V55" i="31"/>
  <c r="V54" i="31"/>
  <c r="V53" i="31"/>
  <c r="V52" i="31"/>
  <c r="V51" i="31"/>
  <c r="V50" i="31"/>
  <c r="V49" i="31"/>
  <c r="U50" i="31"/>
  <c r="U51" i="31"/>
  <c r="U52" i="31"/>
  <c r="U53" i="31"/>
  <c r="U54" i="31"/>
  <c r="U55" i="31"/>
  <c r="U56" i="31"/>
  <c r="U57" i="31"/>
  <c r="U58" i="31"/>
  <c r="U59" i="31"/>
  <c r="U60" i="31"/>
  <c r="U49" i="31"/>
  <c r="K13" i="31"/>
  <c r="K12" i="31"/>
  <c r="K11" i="31"/>
  <c r="O11" i="31" s="1"/>
  <c r="O10" i="31"/>
  <c r="K10" i="31"/>
  <c r="K9" i="31"/>
  <c r="O9" i="31" s="1"/>
  <c r="K8" i="31"/>
  <c r="O8" i="31" s="1"/>
  <c r="K7" i="31"/>
  <c r="O7" i="31" s="1"/>
  <c r="O6" i="31"/>
  <c r="K6" i="31"/>
  <c r="V21" i="47"/>
  <c r="V22" i="47"/>
  <c r="V23" i="47"/>
  <c r="V24" i="47"/>
  <c r="V25" i="47"/>
  <c r="V26" i="47"/>
  <c r="V27" i="47"/>
  <c r="V28" i="47"/>
  <c r="V29" i="47"/>
  <c r="V30" i="47"/>
  <c r="V31" i="47"/>
  <c r="V20" i="47"/>
  <c r="U21" i="47"/>
  <c r="U22" i="47"/>
  <c r="U23" i="47"/>
  <c r="U24" i="47"/>
  <c r="U25" i="47"/>
  <c r="U26" i="47"/>
  <c r="U27" i="47"/>
  <c r="U28" i="47"/>
  <c r="U29" i="47"/>
  <c r="U30" i="47"/>
  <c r="U31" i="47"/>
  <c r="U20" i="47"/>
  <c r="V28" i="28"/>
  <c r="V27" i="28"/>
  <c r="V26" i="28"/>
  <c r="V25" i="28"/>
  <c r="U21" i="28"/>
  <c r="U22" i="28"/>
  <c r="U23" i="28"/>
  <c r="U30" i="28"/>
  <c r="U31" i="28"/>
  <c r="U20" i="28"/>
  <c r="O13" i="38"/>
  <c r="P13" i="38" s="1"/>
  <c r="O12" i="38"/>
  <c r="P12" i="38" s="1"/>
  <c r="O11" i="38"/>
  <c r="P11" i="38" s="1"/>
  <c r="O10" i="38"/>
  <c r="P10" i="38" s="1"/>
  <c r="O9" i="38"/>
  <c r="P9" i="38" s="1"/>
  <c r="O8" i="38"/>
  <c r="P8" i="38" s="1"/>
  <c r="O7" i="38"/>
  <c r="P7" i="38"/>
  <c r="P6" i="38"/>
  <c r="O6" i="38"/>
  <c r="N14" i="38"/>
  <c r="K13" i="38"/>
  <c r="K12" i="38"/>
  <c r="K11" i="38"/>
  <c r="K10" i="38"/>
  <c r="K9" i="38"/>
  <c r="K8" i="38"/>
  <c r="K7" i="38"/>
  <c r="K6" i="38"/>
  <c r="V60" i="38"/>
  <c r="V59" i="38"/>
  <c r="V58" i="38"/>
  <c r="V57" i="38"/>
  <c r="V56" i="38"/>
  <c r="V55" i="38"/>
  <c r="V54" i="38"/>
  <c r="V53" i="38"/>
  <c r="V52" i="38"/>
  <c r="V51" i="38"/>
  <c r="V50" i="38"/>
  <c r="V49" i="38"/>
  <c r="U50" i="38"/>
  <c r="U51" i="38"/>
  <c r="U52" i="38"/>
  <c r="U53" i="38"/>
  <c r="U54" i="38"/>
  <c r="U55" i="38"/>
  <c r="U56" i="38"/>
  <c r="U57" i="38"/>
  <c r="U58" i="38"/>
  <c r="U59" i="38"/>
  <c r="U60" i="38"/>
  <c r="U49" i="38"/>
  <c r="P14" i="38" l="1"/>
  <c r="O13" i="31"/>
  <c r="O12" i="31"/>
  <c r="H206" i="3" l="1"/>
  <c r="H216" i="3"/>
  <c r="H166" i="3"/>
  <c r="H196" i="3"/>
  <c r="H186" i="3"/>
  <c r="H176" i="3"/>
  <c r="G29" i="28"/>
  <c r="V29" i="28" s="1"/>
  <c r="G24" i="28"/>
  <c r="V24" i="28" s="1"/>
  <c r="N48" i="3"/>
  <c r="Q41" i="3"/>
  <c r="O59" i="3"/>
  <c r="Q42" i="3"/>
  <c r="E30" i="6" l="1"/>
  <c r="V63" i="56" l="1"/>
  <c r="V62" i="56"/>
  <c r="E29" i="56" s="1"/>
  <c r="H50" i="56" l="1"/>
  <c r="F50" i="56"/>
  <c r="H31" i="56"/>
  <c r="F31" i="56"/>
  <c r="T52" i="55"/>
  <c r="U27" i="55"/>
  <c r="T27" i="55"/>
  <c r="E15" i="55" s="1"/>
  <c r="E31" i="55" s="1"/>
  <c r="R27" i="55"/>
  <c r="Q27" i="55"/>
  <c r="U26" i="55"/>
  <c r="R26" i="55"/>
  <c r="Q26" i="55"/>
  <c r="T26" i="55" s="1"/>
  <c r="U25" i="55"/>
  <c r="R25" i="55"/>
  <c r="Q25" i="55"/>
  <c r="T25" i="55" s="1"/>
  <c r="U24" i="55"/>
  <c r="Q24" i="55"/>
  <c r="T24" i="55" s="1"/>
  <c r="E24" i="55"/>
  <c r="U23" i="55"/>
  <c r="R23" i="55"/>
  <c r="T23" i="55" s="1"/>
  <c r="Q23" i="55"/>
  <c r="U22" i="55"/>
  <c r="R22" i="55"/>
  <c r="T22" i="55" s="1"/>
  <c r="Q22" i="55"/>
  <c r="U21" i="55"/>
  <c r="R21" i="55"/>
  <c r="T21" i="55" s="1"/>
  <c r="Q21" i="55"/>
  <c r="U20" i="55"/>
  <c r="V20" i="55" s="1"/>
  <c r="U19" i="55"/>
  <c r="V19" i="55" s="1"/>
  <c r="T19" i="55"/>
  <c r="E6" i="55" s="1"/>
  <c r="Q19" i="55"/>
  <c r="E48" i="56" l="1"/>
  <c r="J50" i="56" s="1"/>
  <c r="L50" i="56" s="1"/>
  <c r="E52" i="56" s="1"/>
  <c r="J31" i="56"/>
  <c r="L31" i="56" s="1"/>
  <c r="E33" i="56" s="1"/>
  <c r="V21" i="55"/>
  <c r="E9" i="55"/>
  <c r="E25" i="55" s="1"/>
  <c r="V24" i="55"/>
  <c r="E12" i="55"/>
  <c r="E28" i="55" s="1"/>
  <c r="V23" i="55"/>
  <c r="E11" i="55"/>
  <c r="E27" i="55" s="1"/>
  <c r="E10" i="55"/>
  <c r="E26" i="55" s="1"/>
  <c r="V22" i="55"/>
  <c r="E14" i="55"/>
  <c r="E30" i="55" s="1"/>
  <c r="V26" i="55"/>
  <c r="V25" i="55"/>
  <c r="E13" i="55"/>
  <c r="E29" i="55" s="1"/>
  <c r="V27" i="55"/>
  <c r="R47" i="8" l="1"/>
  <c r="R48" i="8"/>
  <c r="R49" i="8"/>
  <c r="R50" i="8"/>
  <c r="R51" i="8"/>
  <c r="R52" i="8"/>
  <c r="R53" i="8"/>
  <c r="R46" i="8"/>
  <c r="R45" i="8"/>
  <c r="O47" i="8"/>
  <c r="O48" i="8"/>
  <c r="O49" i="8"/>
  <c r="O50" i="8"/>
  <c r="O51" i="8"/>
  <c r="O52" i="8"/>
  <c r="O53" i="8"/>
  <c r="O46" i="8"/>
  <c r="O45" i="8"/>
  <c r="L47" i="8"/>
  <c r="L48" i="8"/>
  <c r="L49" i="8"/>
  <c r="L50" i="8"/>
  <c r="L51" i="8"/>
  <c r="L52" i="8"/>
  <c r="L53" i="8"/>
  <c r="L46" i="8"/>
  <c r="L45" i="8"/>
  <c r="E22" i="14"/>
  <c r="E29" i="14" s="1"/>
  <c r="K24" i="48" s="1"/>
  <c r="K6" i="48" s="1"/>
  <c r="E21" i="14"/>
  <c r="F58" i="40"/>
  <c r="F57" i="40"/>
  <c r="F56" i="40"/>
  <c r="F55" i="40"/>
  <c r="F54" i="40"/>
  <c r="F53" i="40"/>
  <c r="G60" i="40"/>
  <c r="G59" i="40"/>
  <c r="G58" i="40"/>
  <c r="G53" i="40"/>
  <c r="G52" i="40"/>
  <c r="G51" i="40"/>
  <c r="G50" i="40"/>
  <c r="G49" i="40"/>
  <c r="C23" i="40"/>
  <c r="C32" i="40" s="1"/>
  <c r="G22" i="40"/>
  <c r="G21" i="40"/>
  <c r="G20" i="40"/>
  <c r="G19" i="40"/>
  <c r="G18" i="40"/>
  <c r="G17" i="40"/>
  <c r="G16" i="40"/>
  <c r="G15" i="40"/>
  <c r="G13" i="40"/>
  <c r="G31" i="40" s="1"/>
  <c r="N31" i="40" s="1"/>
  <c r="C22" i="40"/>
  <c r="C31" i="40" s="1"/>
  <c r="G12" i="40"/>
  <c r="C21" i="40"/>
  <c r="C30" i="40" s="1"/>
  <c r="G11" i="40"/>
  <c r="C20" i="40"/>
  <c r="C29" i="40" s="1"/>
  <c r="G10" i="40"/>
  <c r="C19" i="40"/>
  <c r="C28" i="40" s="1"/>
  <c r="G9" i="40"/>
  <c r="G27" i="40" s="1"/>
  <c r="N27" i="40" s="1"/>
  <c r="C18" i="40"/>
  <c r="C27" i="40" s="1"/>
  <c r="G8" i="40"/>
  <c r="C17" i="40"/>
  <c r="C26" i="40" s="1"/>
  <c r="G7" i="40"/>
  <c r="C16" i="40"/>
  <c r="C25" i="40" s="1"/>
  <c r="G6" i="40"/>
  <c r="C15" i="40"/>
  <c r="C24" i="40" s="1"/>
  <c r="G60" i="36"/>
  <c r="G59" i="36"/>
  <c r="G58" i="36"/>
  <c r="G53" i="36"/>
  <c r="G52" i="36"/>
  <c r="G51" i="36"/>
  <c r="G50" i="36"/>
  <c r="G49" i="36"/>
  <c r="F58" i="36"/>
  <c r="F57" i="36"/>
  <c r="F56" i="36"/>
  <c r="F55" i="36"/>
  <c r="F54" i="36"/>
  <c r="F53" i="36"/>
  <c r="C23" i="36"/>
  <c r="C32" i="36" s="1"/>
  <c r="C22" i="36"/>
  <c r="C31" i="36" s="1"/>
  <c r="C21" i="36"/>
  <c r="C30" i="36" s="1"/>
  <c r="C20" i="36"/>
  <c r="C29" i="36" s="1"/>
  <c r="C19" i="36"/>
  <c r="C28" i="36" s="1"/>
  <c r="C18" i="36"/>
  <c r="C27" i="36" s="1"/>
  <c r="C17" i="36"/>
  <c r="C26" i="36" s="1"/>
  <c r="C16" i="36"/>
  <c r="C25" i="36" s="1"/>
  <c r="C15" i="36"/>
  <c r="C24" i="36" s="1"/>
  <c r="G60" i="53"/>
  <c r="G59" i="53"/>
  <c r="G58" i="53"/>
  <c r="F58" i="53"/>
  <c r="F57" i="53"/>
  <c r="F56" i="53"/>
  <c r="F55" i="53"/>
  <c r="F54" i="53"/>
  <c r="G53" i="53"/>
  <c r="F53" i="53"/>
  <c r="G52" i="53"/>
  <c r="G51" i="53"/>
  <c r="G50" i="53"/>
  <c r="G49" i="53"/>
  <c r="C23" i="53"/>
  <c r="C32" i="53" s="1"/>
  <c r="C22" i="53"/>
  <c r="C31" i="53" s="1"/>
  <c r="C21" i="53"/>
  <c r="C30" i="53" s="1"/>
  <c r="C20" i="53"/>
  <c r="C29" i="53" s="1"/>
  <c r="C19" i="53"/>
  <c r="C28" i="53" s="1"/>
  <c r="C18" i="53"/>
  <c r="C27" i="53" s="1"/>
  <c r="C17" i="53"/>
  <c r="C26" i="53" s="1"/>
  <c r="C16" i="53"/>
  <c r="C25" i="53" s="1"/>
  <c r="C15" i="53"/>
  <c r="C24" i="53" s="1"/>
  <c r="C1" i="53"/>
  <c r="B1" i="53"/>
  <c r="G60" i="35"/>
  <c r="G59" i="35"/>
  <c r="G58" i="35"/>
  <c r="G53" i="35"/>
  <c r="G52" i="35"/>
  <c r="G51" i="35"/>
  <c r="G50" i="35"/>
  <c r="G49" i="35"/>
  <c r="F58" i="35"/>
  <c r="F57" i="35"/>
  <c r="F56" i="35"/>
  <c r="F55" i="35"/>
  <c r="F54" i="35"/>
  <c r="F53" i="35"/>
  <c r="C23" i="35"/>
  <c r="C32" i="35" s="1"/>
  <c r="C22" i="35"/>
  <c r="C31" i="35" s="1"/>
  <c r="C21" i="35"/>
  <c r="C30" i="35" s="1"/>
  <c r="C20" i="35"/>
  <c r="C29" i="35" s="1"/>
  <c r="C19" i="35"/>
  <c r="C28" i="35" s="1"/>
  <c r="C18" i="35"/>
  <c r="C27" i="35" s="1"/>
  <c r="C17" i="35"/>
  <c r="C26" i="35" s="1"/>
  <c r="C16" i="35"/>
  <c r="C25" i="35" s="1"/>
  <c r="C15" i="35"/>
  <c r="C24" i="35" s="1"/>
  <c r="G31" i="52"/>
  <c r="G30" i="52"/>
  <c r="G29" i="52"/>
  <c r="F29" i="52"/>
  <c r="F28" i="52"/>
  <c r="F27" i="52"/>
  <c r="F26" i="52"/>
  <c r="F25" i="52"/>
  <c r="G24" i="52"/>
  <c r="F24" i="52"/>
  <c r="G23" i="52"/>
  <c r="G22" i="52"/>
  <c r="G21" i="52"/>
  <c r="G20" i="52"/>
  <c r="C1" i="52"/>
  <c r="B1" i="52"/>
  <c r="G31" i="30"/>
  <c r="G30" i="30"/>
  <c r="G29" i="30"/>
  <c r="G24" i="30"/>
  <c r="G23" i="30"/>
  <c r="G22" i="30"/>
  <c r="G21" i="30"/>
  <c r="G20" i="30"/>
  <c r="F29" i="30"/>
  <c r="F28" i="30"/>
  <c r="F27" i="30"/>
  <c r="F26" i="30"/>
  <c r="F25" i="30"/>
  <c r="F24" i="30"/>
  <c r="G60" i="39"/>
  <c r="G59" i="39"/>
  <c r="G58" i="39"/>
  <c r="G53" i="39"/>
  <c r="G52" i="39"/>
  <c r="G51" i="39"/>
  <c r="G50" i="39"/>
  <c r="G49" i="39"/>
  <c r="F58" i="39"/>
  <c r="F57" i="39"/>
  <c r="F56" i="39"/>
  <c r="F55" i="39"/>
  <c r="F54" i="39"/>
  <c r="F53" i="39"/>
  <c r="C23" i="39"/>
  <c r="C32" i="39" s="1"/>
  <c r="G22" i="39"/>
  <c r="G21" i="39"/>
  <c r="G20" i="39"/>
  <c r="G19" i="39"/>
  <c r="G18" i="39"/>
  <c r="G17" i="39"/>
  <c r="G16" i="39"/>
  <c r="G15" i="39"/>
  <c r="G13" i="39"/>
  <c r="G31" i="39" s="1"/>
  <c r="N31" i="39" s="1"/>
  <c r="C22" i="39"/>
  <c r="C31" i="39" s="1"/>
  <c r="G12" i="39"/>
  <c r="C21" i="39"/>
  <c r="C30" i="39" s="1"/>
  <c r="G11" i="39"/>
  <c r="C20" i="39"/>
  <c r="C29" i="39" s="1"/>
  <c r="G10" i="39"/>
  <c r="C19" i="39"/>
  <c r="C28" i="39" s="1"/>
  <c r="G9" i="39"/>
  <c r="G27" i="39" s="1"/>
  <c r="N27" i="39" s="1"/>
  <c r="C18" i="39"/>
  <c r="C27" i="39" s="1"/>
  <c r="G8" i="39"/>
  <c r="C17" i="39"/>
  <c r="C26" i="39" s="1"/>
  <c r="G7" i="39"/>
  <c r="C16" i="39"/>
  <c r="C25" i="39" s="1"/>
  <c r="G6" i="39"/>
  <c r="C15" i="39"/>
  <c r="C24" i="39" s="1"/>
  <c r="G60" i="34"/>
  <c r="G59" i="34"/>
  <c r="G58" i="34"/>
  <c r="G53" i="34"/>
  <c r="G52" i="34"/>
  <c r="G51" i="34"/>
  <c r="G50" i="34"/>
  <c r="G49" i="34"/>
  <c r="F58" i="34"/>
  <c r="F57" i="34"/>
  <c r="F56" i="34"/>
  <c r="F55" i="34"/>
  <c r="F54" i="34"/>
  <c r="F53" i="34"/>
  <c r="C23" i="34"/>
  <c r="C32" i="34" s="1"/>
  <c r="C22" i="34"/>
  <c r="C31" i="34" s="1"/>
  <c r="C21" i="34"/>
  <c r="C30" i="34" s="1"/>
  <c r="C20" i="34"/>
  <c r="C29" i="34" s="1"/>
  <c r="C19" i="34"/>
  <c r="C28" i="34" s="1"/>
  <c r="C18" i="34"/>
  <c r="C27" i="34" s="1"/>
  <c r="C17" i="34"/>
  <c r="C26" i="34" s="1"/>
  <c r="C16" i="34"/>
  <c r="C25" i="34" s="1"/>
  <c r="C15" i="34"/>
  <c r="C24" i="34" s="1"/>
  <c r="G60" i="51"/>
  <c r="G59" i="51"/>
  <c r="G58" i="51"/>
  <c r="F58" i="51"/>
  <c r="F57" i="51"/>
  <c r="F56" i="51"/>
  <c r="F55" i="51"/>
  <c r="F54" i="51"/>
  <c r="G53" i="51"/>
  <c r="F53" i="51"/>
  <c r="G52" i="51"/>
  <c r="G51" i="51"/>
  <c r="G50" i="51"/>
  <c r="G49" i="51"/>
  <c r="C23" i="51"/>
  <c r="C32" i="51" s="1"/>
  <c r="C22" i="51"/>
  <c r="C31" i="51" s="1"/>
  <c r="C21" i="51"/>
  <c r="C30" i="51" s="1"/>
  <c r="C20" i="51"/>
  <c r="C29" i="51" s="1"/>
  <c r="C19" i="51"/>
  <c r="C28" i="51" s="1"/>
  <c r="C18" i="51"/>
  <c r="C27" i="51" s="1"/>
  <c r="C17" i="51"/>
  <c r="C26" i="51" s="1"/>
  <c r="C16" i="51"/>
  <c r="C25" i="51" s="1"/>
  <c r="C15" i="51"/>
  <c r="C24" i="51" s="1"/>
  <c r="C1" i="51"/>
  <c r="B1" i="51"/>
  <c r="G60" i="33"/>
  <c r="G59" i="33"/>
  <c r="G58" i="33"/>
  <c r="G53" i="33"/>
  <c r="G52" i="33"/>
  <c r="G51" i="33"/>
  <c r="G50" i="33"/>
  <c r="G49" i="33"/>
  <c r="F58" i="33"/>
  <c r="F57" i="33"/>
  <c r="F56" i="33"/>
  <c r="F55" i="33"/>
  <c r="F54" i="33"/>
  <c r="F53" i="33"/>
  <c r="C23" i="33"/>
  <c r="C32" i="33" s="1"/>
  <c r="C22" i="33"/>
  <c r="C31" i="33" s="1"/>
  <c r="C21" i="33"/>
  <c r="C30" i="33" s="1"/>
  <c r="C20" i="33"/>
  <c r="C29" i="33" s="1"/>
  <c r="C19" i="33"/>
  <c r="C28" i="33" s="1"/>
  <c r="C18" i="33"/>
  <c r="C27" i="33" s="1"/>
  <c r="C17" i="33"/>
  <c r="C26" i="33" s="1"/>
  <c r="C16" i="33"/>
  <c r="C25" i="33" s="1"/>
  <c r="C15" i="33"/>
  <c r="C24" i="33" s="1"/>
  <c r="G31" i="50"/>
  <c r="G30" i="50"/>
  <c r="G29" i="50"/>
  <c r="F29" i="50"/>
  <c r="F28" i="50"/>
  <c r="F27" i="50"/>
  <c r="F26" i="50"/>
  <c r="F25" i="50"/>
  <c r="G24" i="50"/>
  <c r="F24" i="50"/>
  <c r="G23" i="50"/>
  <c r="G22" i="50"/>
  <c r="G21" i="50"/>
  <c r="G20" i="50"/>
  <c r="C1" i="50"/>
  <c r="B1" i="50"/>
  <c r="F29" i="29"/>
  <c r="F28" i="29"/>
  <c r="F27" i="29"/>
  <c r="F26" i="29"/>
  <c r="F25" i="29"/>
  <c r="F24" i="29"/>
  <c r="G31" i="29"/>
  <c r="G30" i="29"/>
  <c r="G29" i="29"/>
  <c r="G24" i="29"/>
  <c r="G23" i="29"/>
  <c r="G22" i="29"/>
  <c r="G21" i="29"/>
  <c r="G20" i="29"/>
  <c r="E20" i="29"/>
  <c r="F58" i="38"/>
  <c r="F57" i="38"/>
  <c r="F56" i="38"/>
  <c r="F55" i="38"/>
  <c r="F54" i="38"/>
  <c r="F53" i="38"/>
  <c r="G60" i="38"/>
  <c r="G59" i="38"/>
  <c r="G58" i="38"/>
  <c r="G53" i="38"/>
  <c r="G52" i="38"/>
  <c r="G51" i="38"/>
  <c r="G50" i="38"/>
  <c r="G49" i="38"/>
  <c r="G17" i="38"/>
  <c r="G18" i="38"/>
  <c r="G19" i="38"/>
  <c r="G20" i="38"/>
  <c r="G21" i="38"/>
  <c r="G22" i="38"/>
  <c r="G16" i="38"/>
  <c r="G15" i="38"/>
  <c r="G8" i="38"/>
  <c r="G26" i="38" s="1"/>
  <c r="N26" i="38" s="1"/>
  <c r="G9" i="38"/>
  <c r="G10" i="38"/>
  <c r="G28" i="38" s="1"/>
  <c r="N28" i="38" s="1"/>
  <c r="G11" i="38"/>
  <c r="G12" i="38"/>
  <c r="G30" i="38" s="1"/>
  <c r="N30" i="38" s="1"/>
  <c r="G13" i="38"/>
  <c r="G31" i="38" s="1"/>
  <c r="N31" i="38" s="1"/>
  <c r="G7" i="38"/>
  <c r="G6" i="38"/>
  <c r="C23" i="38"/>
  <c r="C32" i="38" s="1"/>
  <c r="C22" i="38"/>
  <c r="C31" i="38" s="1"/>
  <c r="C21" i="38"/>
  <c r="C30" i="38" s="1"/>
  <c r="C20" i="38"/>
  <c r="C29" i="38" s="1"/>
  <c r="C19" i="38"/>
  <c r="C28" i="38" s="1"/>
  <c r="C18" i="38"/>
  <c r="C27" i="38" s="1"/>
  <c r="C17" i="38"/>
  <c r="C26" i="38" s="1"/>
  <c r="C16" i="38"/>
  <c r="C25" i="38" s="1"/>
  <c r="C15" i="38"/>
  <c r="C24" i="38" s="1"/>
  <c r="G58" i="32"/>
  <c r="G60" i="32"/>
  <c r="G59" i="32"/>
  <c r="G53" i="32"/>
  <c r="G52" i="32"/>
  <c r="G51" i="32"/>
  <c r="G50" i="32"/>
  <c r="G49" i="32"/>
  <c r="F58" i="32"/>
  <c r="F57" i="32"/>
  <c r="F56" i="32"/>
  <c r="F55" i="32"/>
  <c r="F54" i="32"/>
  <c r="F53" i="32"/>
  <c r="C23" i="32"/>
  <c r="C32" i="32" s="1"/>
  <c r="C22" i="32"/>
  <c r="C31" i="32" s="1"/>
  <c r="C21" i="32"/>
  <c r="C30" i="32" s="1"/>
  <c r="C20" i="32"/>
  <c r="C29" i="32" s="1"/>
  <c r="C19" i="32"/>
  <c r="C28" i="32" s="1"/>
  <c r="C18" i="32"/>
  <c r="C27" i="32" s="1"/>
  <c r="C17" i="32"/>
  <c r="C26" i="32" s="1"/>
  <c r="C16" i="32"/>
  <c r="C25" i="32" s="1"/>
  <c r="C15" i="32"/>
  <c r="C24" i="32" s="1"/>
  <c r="F58" i="48"/>
  <c r="F57" i="48"/>
  <c r="F56" i="48"/>
  <c r="F55" i="48"/>
  <c r="F54" i="48"/>
  <c r="F53" i="48"/>
  <c r="G60" i="48"/>
  <c r="G59" i="48"/>
  <c r="G58" i="48"/>
  <c r="G53" i="48"/>
  <c r="G52" i="48"/>
  <c r="G51" i="48"/>
  <c r="G50" i="48"/>
  <c r="G49" i="48"/>
  <c r="G60" i="31"/>
  <c r="G59" i="31"/>
  <c r="G58" i="31"/>
  <c r="G53" i="31"/>
  <c r="G52" i="31"/>
  <c r="G51" i="31"/>
  <c r="G50" i="31"/>
  <c r="G49" i="31"/>
  <c r="F53" i="31"/>
  <c r="F58" i="31"/>
  <c r="F57" i="31"/>
  <c r="F56" i="31"/>
  <c r="F55" i="31"/>
  <c r="F54" i="31"/>
  <c r="I34" i="28"/>
  <c r="D1" i="48"/>
  <c r="C23" i="48"/>
  <c r="C32" i="48" s="1"/>
  <c r="C16" i="48"/>
  <c r="C25" i="48" s="1"/>
  <c r="C22" i="48"/>
  <c r="C31" i="48" s="1"/>
  <c r="C21" i="48"/>
  <c r="C30" i="48" s="1"/>
  <c r="C20" i="48"/>
  <c r="C29" i="48" s="1"/>
  <c r="C19" i="48"/>
  <c r="C28" i="48" s="1"/>
  <c r="C18" i="48"/>
  <c r="C27" i="48" s="1"/>
  <c r="C17" i="48"/>
  <c r="C26" i="48" s="1"/>
  <c r="C15" i="48"/>
  <c r="C24" i="48" s="1"/>
  <c r="B1" i="48"/>
  <c r="C23" i="31"/>
  <c r="C32" i="31" s="1"/>
  <c r="C22" i="31"/>
  <c r="C31" i="31" s="1"/>
  <c r="C21" i="31"/>
  <c r="C30" i="31" s="1"/>
  <c r="C20" i="31"/>
  <c r="C29" i="31" s="1"/>
  <c r="C19" i="31"/>
  <c r="C28" i="31" s="1"/>
  <c r="C18" i="31"/>
  <c r="C27" i="31" s="1"/>
  <c r="C17" i="31"/>
  <c r="C26" i="31" s="1"/>
  <c r="C16" i="31"/>
  <c r="C25" i="31" s="1"/>
  <c r="C15" i="31"/>
  <c r="C24" i="31" s="1"/>
  <c r="G29" i="47"/>
  <c r="G24" i="47"/>
  <c r="G31" i="47"/>
  <c r="G30" i="47"/>
  <c r="F29" i="47"/>
  <c r="F28" i="47"/>
  <c r="F27" i="47"/>
  <c r="F26" i="47"/>
  <c r="F25" i="47"/>
  <c r="F24" i="47"/>
  <c r="G23" i="47"/>
  <c r="G22" i="47"/>
  <c r="G21" i="47"/>
  <c r="G20" i="47"/>
  <c r="D1" i="47"/>
  <c r="B1" i="47"/>
  <c r="F29" i="28"/>
  <c r="U29" i="28" s="1"/>
  <c r="F24" i="28"/>
  <c r="U24" i="28" s="1"/>
  <c r="G31" i="28"/>
  <c r="V31" i="28" s="1"/>
  <c r="G30" i="28"/>
  <c r="V30" i="28" s="1"/>
  <c r="G23" i="28"/>
  <c r="V23" i="28" s="1"/>
  <c r="G22" i="28"/>
  <c r="V22" i="28" s="1"/>
  <c r="G21" i="28"/>
  <c r="V21" i="28" s="1"/>
  <c r="G20" i="28"/>
  <c r="V20" i="28" s="1"/>
  <c r="F28" i="28"/>
  <c r="U28" i="28" s="1"/>
  <c r="F27" i="28"/>
  <c r="U27" i="28" s="1"/>
  <c r="F26" i="28"/>
  <c r="U26" i="28" s="1"/>
  <c r="F25" i="28"/>
  <c r="U25" i="28" s="1"/>
  <c r="K31" i="33"/>
  <c r="K30" i="31"/>
  <c r="O30" i="31" s="1"/>
  <c r="K29" i="38"/>
  <c r="O29" i="38" s="1"/>
  <c r="K28" i="38"/>
  <c r="O28" i="38" s="1"/>
  <c r="K27" i="38"/>
  <c r="O27" i="38" s="1"/>
  <c r="K24" i="38"/>
  <c r="O24" i="38" s="1"/>
  <c r="E49" i="38" l="1"/>
  <c r="T49" i="36"/>
  <c r="T49" i="40"/>
  <c r="E49" i="33"/>
  <c r="E49" i="32"/>
  <c r="E49" i="31"/>
  <c r="T49" i="53"/>
  <c r="T50" i="53" s="1"/>
  <c r="T51" i="53" s="1"/>
  <c r="T20" i="52"/>
  <c r="T21" i="52" s="1"/>
  <c r="T22" i="52" s="1"/>
  <c r="T49" i="35"/>
  <c r="T20" i="30"/>
  <c r="E49" i="35"/>
  <c r="E20" i="30"/>
  <c r="C28" i="14"/>
  <c r="E28" i="14" s="1"/>
  <c r="O6" i="48"/>
  <c r="E49" i="40"/>
  <c r="T49" i="39"/>
  <c r="T49" i="34"/>
  <c r="T49" i="51"/>
  <c r="T50" i="51" s="1"/>
  <c r="T51" i="51" s="1"/>
  <c r="T49" i="33"/>
  <c r="T49" i="32"/>
  <c r="T20" i="50"/>
  <c r="T21" i="50" s="1"/>
  <c r="T22" i="50" s="1"/>
  <c r="T20" i="29"/>
  <c r="T49" i="48"/>
  <c r="T49" i="31"/>
  <c r="T20" i="47"/>
  <c r="T20" i="28"/>
  <c r="T49" i="38"/>
  <c r="E49" i="48"/>
  <c r="E49" i="51"/>
  <c r="E50" i="51" s="1"/>
  <c r="E49" i="53"/>
  <c r="E50" i="53" s="1"/>
  <c r="E51" i="53" s="1"/>
  <c r="E52" i="53" s="1"/>
  <c r="E53" i="53" s="1"/>
  <c r="E54" i="53" s="1"/>
  <c r="E20" i="50"/>
  <c r="E21" i="50" s="1"/>
  <c r="E22" i="50" s="1"/>
  <c r="E23" i="50" s="1"/>
  <c r="E24" i="50" s="1"/>
  <c r="E25" i="50" s="1"/>
  <c r="E49" i="34"/>
  <c r="E49" i="39"/>
  <c r="E20" i="52"/>
  <c r="E21" i="52" s="1"/>
  <c r="E22" i="52" s="1"/>
  <c r="E23" i="52" s="1"/>
  <c r="E24" i="52" s="1"/>
  <c r="E25" i="52" s="1"/>
  <c r="E49" i="36"/>
  <c r="G25" i="40"/>
  <c r="N25" i="40" s="1"/>
  <c r="G29" i="40"/>
  <c r="N29" i="40" s="1"/>
  <c r="G26" i="40"/>
  <c r="N26" i="40" s="1"/>
  <c r="G24" i="40"/>
  <c r="N24" i="40" s="1"/>
  <c r="G28" i="40"/>
  <c r="N28" i="40" s="1"/>
  <c r="G23" i="40"/>
  <c r="G30" i="40"/>
  <c r="N30" i="40" s="1"/>
  <c r="G25" i="39"/>
  <c r="N25" i="39" s="1"/>
  <c r="G29" i="39"/>
  <c r="N29" i="39" s="1"/>
  <c r="G26" i="39"/>
  <c r="N26" i="39" s="1"/>
  <c r="G30" i="39"/>
  <c r="N30" i="39" s="1"/>
  <c r="G28" i="39"/>
  <c r="N28" i="39" s="1"/>
  <c r="G23" i="39"/>
  <c r="G14" i="38"/>
  <c r="G29" i="38"/>
  <c r="N29" i="38" s="1"/>
  <c r="G25" i="38"/>
  <c r="N25" i="38" s="1"/>
  <c r="G27" i="38"/>
  <c r="N27" i="38" s="1"/>
  <c r="P27" i="38" s="1"/>
  <c r="K28" i="39"/>
  <c r="O28" i="39" s="1"/>
  <c r="K31" i="40"/>
  <c r="O31" i="40" s="1"/>
  <c r="P31" i="40" s="1"/>
  <c r="K28" i="40"/>
  <c r="O28" i="40" s="1"/>
  <c r="K29" i="39"/>
  <c r="O29" i="39" s="1"/>
  <c r="K28" i="35"/>
  <c r="O28" i="35" s="1"/>
  <c r="K24" i="53"/>
  <c r="K27" i="40"/>
  <c r="O27" i="40" s="1"/>
  <c r="P27" i="40" s="1"/>
  <c r="K24" i="34"/>
  <c r="K31" i="39"/>
  <c r="O31" i="39" s="1"/>
  <c r="P31" i="39" s="1"/>
  <c r="K29" i="35"/>
  <c r="O29" i="35" s="1"/>
  <c r="K24" i="40"/>
  <c r="O24" i="40" s="1"/>
  <c r="K24" i="39"/>
  <c r="O24" i="39" s="1"/>
  <c r="K24" i="35"/>
  <c r="O24" i="35" s="1"/>
  <c r="K30" i="35"/>
  <c r="O30" i="35" s="1"/>
  <c r="K25" i="40"/>
  <c r="O25" i="40" s="1"/>
  <c r="K29" i="40"/>
  <c r="O29" i="40" s="1"/>
  <c r="P29" i="40" s="1"/>
  <c r="K24" i="51"/>
  <c r="K25" i="39"/>
  <c r="O25" i="39" s="1"/>
  <c r="K25" i="35"/>
  <c r="O25" i="35" s="1"/>
  <c r="K30" i="40"/>
  <c r="O30" i="40" s="1"/>
  <c r="D12" i="52"/>
  <c r="G12" i="52" s="1"/>
  <c r="K30" i="39"/>
  <c r="O30" i="39" s="1"/>
  <c r="K26" i="39"/>
  <c r="O26" i="39" s="1"/>
  <c r="K26" i="35"/>
  <c r="O26" i="35" s="1"/>
  <c r="K31" i="35"/>
  <c r="O31" i="35" s="1"/>
  <c r="K26" i="40"/>
  <c r="O26" i="40" s="1"/>
  <c r="P26" i="40" s="1"/>
  <c r="K27" i="39"/>
  <c r="O27" i="39" s="1"/>
  <c r="P27" i="39" s="1"/>
  <c r="K27" i="35"/>
  <c r="O27" i="35" s="1"/>
  <c r="K24" i="36"/>
  <c r="G14" i="40"/>
  <c r="G14" i="39"/>
  <c r="G24" i="39"/>
  <c r="D12" i="50"/>
  <c r="K24" i="32"/>
  <c r="K24" i="33"/>
  <c r="O24" i="33" s="1"/>
  <c r="K26" i="31"/>
  <c r="O26" i="31" s="1"/>
  <c r="K25" i="33"/>
  <c r="O25" i="33" s="1"/>
  <c r="K31" i="31"/>
  <c r="O31" i="31" s="1"/>
  <c r="K26" i="33"/>
  <c r="O26" i="33" s="1"/>
  <c r="K27" i="33"/>
  <c r="O27" i="33" s="1"/>
  <c r="K28" i="33"/>
  <c r="O28" i="33" s="1"/>
  <c r="K29" i="33"/>
  <c r="O29" i="33" s="1"/>
  <c r="K30" i="33"/>
  <c r="O30" i="33" s="1"/>
  <c r="O31" i="33"/>
  <c r="K26" i="48"/>
  <c r="K25" i="48"/>
  <c r="K27" i="31"/>
  <c r="O27" i="31" s="1"/>
  <c r="K30" i="38"/>
  <c r="O30" i="38" s="1"/>
  <c r="P30" i="38" s="1"/>
  <c r="K26" i="38"/>
  <c r="O26" i="38" s="1"/>
  <c r="P26" i="38" s="1"/>
  <c r="K25" i="38"/>
  <c r="O25" i="38" s="1"/>
  <c r="K28" i="31"/>
  <c r="O28" i="31" s="1"/>
  <c r="K31" i="38"/>
  <c r="O31" i="38" s="1"/>
  <c r="P31" i="38" s="1"/>
  <c r="K24" i="31"/>
  <c r="O24" i="31" s="1"/>
  <c r="K29" i="31"/>
  <c r="O29" i="31" s="1"/>
  <c r="K25" i="31"/>
  <c r="O25" i="31" s="1"/>
  <c r="O24" i="48"/>
  <c r="G23" i="38"/>
  <c r="P29" i="38"/>
  <c r="P28" i="38"/>
  <c r="G24" i="38"/>
  <c r="H78" i="21"/>
  <c r="G78" i="21"/>
  <c r="F78" i="21"/>
  <c r="E78" i="21"/>
  <c r="D78" i="21"/>
  <c r="C78" i="21"/>
  <c r="E75" i="21"/>
  <c r="D75" i="21"/>
  <c r="C75" i="21"/>
  <c r="M72" i="21"/>
  <c r="L72" i="21"/>
  <c r="K72" i="21"/>
  <c r="Q72" i="21"/>
  <c r="P72" i="21"/>
  <c r="O72" i="21"/>
  <c r="N72" i="21"/>
  <c r="R72" i="21"/>
  <c r="H72" i="21"/>
  <c r="G72" i="21"/>
  <c r="F72" i="21"/>
  <c r="E72" i="21"/>
  <c r="D72" i="21"/>
  <c r="C72" i="21"/>
  <c r="K25" i="36" l="1"/>
  <c r="O25" i="36" s="1"/>
  <c r="K6" i="36"/>
  <c r="O6" i="36" s="1"/>
  <c r="O24" i="53"/>
  <c r="K6" i="53"/>
  <c r="O6" i="53" s="1"/>
  <c r="G12" i="50"/>
  <c r="O24" i="51"/>
  <c r="K6" i="51"/>
  <c r="K25" i="34"/>
  <c r="O25" i="34" s="1"/>
  <c r="K6" i="34"/>
  <c r="K27" i="48"/>
  <c r="O27" i="48" s="1"/>
  <c r="K7" i="48"/>
  <c r="K25" i="32"/>
  <c r="O25" i="32" s="1"/>
  <c r="K6" i="32"/>
  <c r="O6" i="32" s="1"/>
  <c r="K28" i="48"/>
  <c r="O28" i="48" s="1"/>
  <c r="K8" i="48"/>
  <c r="P25" i="40"/>
  <c r="P28" i="39"/>
  <c r="P30" i="39"/>
  <c r="O24" i="36"/>
  <c r="G32" i="40"/>
  <c r="G33" i="40" s="1"/>
  <c r="N32" i="40"/>
  <c r="P30" i="40"/>
  <c r="P28" i="40"/>
  <c r="P26" i="39"/>
  <c r="P29" i="39"/>
  <c r="P25" i="39"/>
  <c r="P25" i="38"/>
  <c r="O24" i="34"/>
  <c r="K26" i="53"/>
  <c r="K25" i="53"/>
  <c r="K26" i="51"/>
  <c r="K8" i="51" s="1"/>
  <c r="K25" i="51"/>
  <c r="K7" i="51" s="1"/>
  <c r="P24" i="40"/>
  <c r="E55" i="53"/>
  <c r="T52" i="53"/>
  <c r="T23" i="52"/>
  <c r="E26" i="52"/>
  <c r="N24" i="39"/>
  <c r="G32" i="39"/>
  <c r="G33" i="39" s="1"/>
  <c r="O24" i="32"/>
  <c r="O26" i="48"/>
  <c r="T52" i="51"/>
  <c r="E51" i="51"/>
  <c r="E26" i="50"/>
  <c r="T23" i="50"/>
  <c r="O25" i="48"/>
  <c r="N24" i="38"/>
  <c r="G32" i="38"/>
  <c r="G33" i="38" s="1"/>
  <c r="H6" i="6"/>
  <c r="K26" i="36" l="1"/>
  <c r="K7" i="36"/>
  <c r="O7" i="36" s="1"/>
  <c r="O25" i="53"/>
  <c r="K7" i="53"/>
  <c r="O7" i="53" s="1"/>
  <c r="K28" i="53"/>
  <c r="K10" i="53" s="1"/>
  <c r="O10" i="53" s="1"/>
  <c r="K8" i="53"/>
  <c r="O8" i="53" s="1"/>
  <c r="O8" i="48"/>
  <c r="K26" i="34"/>
  <c r="K7" i="34"/>
  <c r="K30" i="48"/>
  <c r="K10" i="48"/>
  <c r="O6" i="51"/>
  <c r="O7" i="48"/>
  <c r="O6" i="34"/>
  <c r="O7" i="51"/>
  <c r="O8" i="51"/>
  <c r="K26" i="32"/>
  <c r="K7" i="32"/>
  <c r="O7" i="32" s="1"/>
  <c r="K29" i="48"/>
  <c r="K9" i="48"/>
  <c r="P32" i="40"/>
  <c r="D49" i="40" s="1"/>
  <c r="K27" i="53"/>
  <c r="O26" i="53"/>
  <c r="K27" i="51"/>
  <c r="K9" i="51" s="1"/>
  <c r="O25" i="51"/>
  <c r="K28" i="51"/>
  <c r="K10" i="51" s="1"/>
  <c r="O26" i="51"/>
  <c r="T53" i="53"/>
  <c r="E56" i="53"/>
  <c r="T24" i="52"/>
  <c r="E27" i="52"/>
  <c r="N32" i="39"/>
  <c r="P24" i="39"/>
  <c r="P32" i="39" s="1"/>
  <c r="D49" i="39" s="1"/>
  <c r="E52" i="51"/>
  <c r="T53" i="51"/>
  <c r="E27" i="50"/>
  <c r="T24" i="50"/>
  <c r="N32" i="38"/>
  <c r="P24" i="38"/>
  <c r="P32" i="38" s="1"/>
  <c r="D49" i="38" s="1"/>
  <c r="AJ54" i="45"/>
  <c r="AJ53" i="45"/>
  <c r="AJ52" i="45"/>
  <c r="O28" i="53" l="1"/>
  <c r="K30" i="53"/>
  <c r="K12" i="53" s="1"/>
  <c r="O12" i="53" s="1"/>
  <c r="K27" i="36"/>
  <c r="K8" i="36"/>
  <c r="O8" i="36" s="1"/>
  <c r="O26" i="36"/>
  <c r="O27" i="53"/>
  <c r="K9" i="53"/>
  <c r="O9" i="53" s="1"/>
  <c r="O10" i="48"/>
  <c r="O30" i="48"/>
  <c r="K12" i="48"/>
  <c r="O9" i="51"/>
  <c r="O9" i="48"/>
  <c r="O7" i="34"/>
  <c r="K8" i="34"/>
  <c r="K27" i="34"/>
  <c r="O26" i="34"/>
  <c r="K31" i="48"/>
  <c r="K11" i="48"/>
  <c r="O29" i="48"/>
  <c r="O10" i="51"/>
  <c r="K27" i="32"/>
  <c r="K8" i="32"/>
  <c r="O8" i="32" s="1"/>
  <c r="O26" i="32"/>
  <c r="K29" i="53"/>
  <c r="K30" i="51"/>
  <c r="O28" i="51"/>
  <c r="K29" i="51"/>
  <c r="K11" i="51" s="1"/>
  <c r="O27" i="51"/>
  <c r="T54" i="53"/>
  <c r="E57" i="53"/>
  <c r="E28" i="52"/>
  <c r="T25" i="52"/>
  <c r="E53" i="51"/>
  <c r="T54" i="51"/>
  <c r="E28" i="50"/>
  <c r="T25" i="50"/>
  <c r="AD27" i="44"/>
  <c r="AD26" i="44"/>
  <c r="AD25" i="44"/>
  <c r="AD24" i="44"/>
  <c r="AD23" i="44"/>
  <c r="AD22" i="44"/>
  <c r="AD21" i="44"/>
  <c r="AD14" i="44"/>
  <c r="T15" i="44"/>
  <c r="AD15" i="44" s="1"/>
  <c r="T14" i="44"/>
  <c r="T13" i="44"/>
  <c r="AD13" i="44" s="1"/>
  <c r="T12" i="44"/>
  <c r="AD12" i="44" s="1"/>
  <c r="T11" i="44"/>
  <c r="AD11" i="44" s="1"/>
  <c r="T10" i="44"/>
  <c r="AD10" i="44" s="1"/>
  <c r="O30" i="53" l="1"/>
  <c r="K28" i="36"/>
  <c r="K9" i="36"/>
  <c r="O9" i="36" s="1"/>
  <c r="O27" i="36"/>
  <c r="K31" i="53"/>
  <c r="K11" i="53"/>
  <c r="O11" i="53" s="1"/>
  <c r="O30" i="51"/>
  <c r="K12" i="51"/>
  <c r="K9" i="34"/>
  <c r="K28" i="34"/>
  <c r="O27" i="34"/>
  <c r="O8" i="34"/>
  <c r="K28" i="32"/>
  <c r="K9" i="32"/>
  <c r="O9" i="32" s="1"/>
  <c r="O27" i="32"/>
  <c r="O12" i="48"/>
  <c r="O11" i="51"/>
  <c r="O11" i="48"/>
  <c r="O31" i="48"/>
  <c r="K13" i="48"/>
  <c r="O29" i="53"/>
  <c r="K31" i="51"/>
  <c r="O29" i="51"/>
  <c r="E58" i="53"/>
  <c r="T55" i="53"/>
  <c r="E29" i="52"/>
  <c r="T26" i="52"/>
  <c r="T55" i="51"/>
  <c r="E54" i="51"/>
  <c r="T26" i="50"/>
  <c r="E29" i="50"/>
  <c r="G110" i="3"/>
  <c r="G94" i="3"/>
  <c r="D85" i="3"/>
  <c r="D78" i="3"/>
  <c r="Z18" i="45"/>
  <c r="Q18" i="45"/>
  <c r="H18" i="45"/>
  <c r="L13" i="45"/>
  <c r="Y31" i="44"/>
  <c r="T31" i="44"/>
  <c r="AD30" i="44"/>
  <c r="AD29" i="44"/>
  <c r="AD28" i="44"/>
  <c r="AD20" i="44"/>
  <c r="Y19" i="44"/>
  <c r="T18" i="44"/>
  <c r="AD18" i="44" s="1"/>
  <c r="T17" i="44"/>
  <c r="AD17" i="44" s="1"/>
  <c r="T16" i="44"/>
  <c r="AD16" i="44" s="1"/>
  <c r="T9" i="44"/>
  <c r="AD9" i="44" s="1"/>
  <c r="T8" i="44"/>
  <c r="AD8" i="44" s="1"/>
  <c r="T7" i="44"/>
  <c r="AD7" i="44" s="1"/>
  <c r="J7" i="42"/>
  <c r="L7" i="42"/>
  <c r="M7" i="42"/>
  <c r="N7" i="42"/>
  <c r="O7" i="42"/>
  <c r="J8" i="42"/>
  <c r="L8" i="42"/>
  <c r="M8" i="42"/>
  <c r="N8" i="42"/>
  <c r="O8" i="42"/>
  <c r="J9" i="42"/>
  <c r="J14" i="42" s="1"/>
  <c r="J17" i="42" s="1"/>
  <c r="L9" i="42"/>
  <c r="M9" i="42"/>
  <c r="N9" i="42"/>
  <c r="O9" i="42"/>
  <c r="J10" i="42"/>
  <c r="L10" i="42"/>
  <c r="M10" i="42"/>
  <c r="N10" i="42"/>
  <c r="O10" i="42"/>
  <c r="J11" i="42"/>
  <c r="L11" i="42"/>
  <c r="M11" i="42"/>
  <c r="N11" i="42"/>
  <c r="O11" i="42"/>
  <c r="J12" i="42"/>
  <c r="L12" i="42"/>
  <c r="M12" i="42"/>
  <c r="N12" i="42"/>
  <c r="O12" i="42"/>
  <c r="J13" i="42"/>
  <c r="L13" i="42"/>
  <c r="M13" i="42"/>
  <c r="N13" i="42"/>
  <c r="O13" i="42"/>
  <c r="M15" i="42"/>
  <c r="O15" i="42" s="1"/>
  <c r="N15" i="42"/>
  <c r="J16" i="42"/>
  <c r="L16" i="42"/>
  <c r="M16" i="42"/>
  <c r="N16" i="42"/>
  <c r="O16" i="42"/>
  <c r="K10" i="36" l="1"/>
  <c r="O10" i="36" s="1"/>
  <c r="K29" i="36"/>
  <c r="O28" i="36"/>
  <c r="O31" i="53"/>
  <c r="K13" i="53"/>
  <c r="O13" i="53" s="1"/>
  <c r="K10" i="34"/>
  <c r="O28" i="34"/>
  <c r="K29" i="34"/>
  <c r="O9" i="34"/>
  <c r="O13" i="48"/>
  <c r="O12" i="51"/>
  <c r="O31" i="51"/>
  <c r="K13" i="51"/>
  <c r="K29" i="32"/>
  <c r="K10" i="32"/>
  <c r="O10" i="32" s="1"/>
  <c r="O28" i="32"/>
  <c r="E59" i="53"/>
  <c r="T56" i="53"/>
  <c r="E30" i="52"/>
  <c r="T27" i="52"/>
  <c r="E55" i="51"/>
  <c r="T56" i="51"/>
  <c r="E30" i="50"/>
  <c r="T27" i="50"/>
  <c r="N14" i="42"/>
  <c r="M14" i="42"/>
  <c r="O14" i="42"/>
  <c r="AD31" i="44"/>
  <c r="T19" i="44"/>
  <c r="AD19" i="44" s="1"/>
  <c r="M17" i="42"/>
  <c r="L16" i="21" s="1"/>
  <c r="N17" i="42"/>
  <c r="R16" i="21" s="1"/>
  <c r="O17" i="42"/>
  <c r="X16" i="21" s="1"/>
  <c r="K11" i="36" l="1"/>
  <c r="O11" i="36" s="1"/>
  <c r="O29" i="36"/>
  <c r="K30" i="36"/>
  <c r="K30" i="32"/>
  <c r="K11" i="32"/>
  <c r="O11" i="32" s="1"/>
  <c r="O29" i="32"/>
  <c r="K11" i="34"/>
  <c r="O29" i="34"/>
  <c r="K30" i="34"/>
  <c r="O13" i="51"/>
  <c r="O10" i="34"/>
  <c r="E60" i="53"/>
  <c r="T57" i="53"/>
  <c r="T28" i="52"/>
  <c r="E31" i="52"/>
  <c r="E56" i="51"/>
  <c r="T57" i="51"/>
  <c r="T28" i="50"/>
  <c r="E31" i="50"/>
  <c r="AD15" i="21"/>
  <c r="I72" i="21"/>
  <c r="AD32" i="44"/>
  <c r="B43" i="44"/>
  <c r="L43" i="44" s="1"/>
  <c r="W43" i="44" s="1"/>
  <c r="K12" i="36" l="1"/>
  <c r="O12" i="36" s="1"/>
  <c r="K31" i="36"/>
  <c r="O30" i="36"/>
  <c r="O11" i="34"/>
  <c r="K12" i="34"/>
  <c r="O30" i="34"/>
  <c r="K31" i="34"/>
  <c r="K31" i="32"/>
  <c r="K12" i="32"/>
  <c r="O12" i="32" s="1"/>
  <c r="O30" i="32"/>
  <c r="T58" i="53"/>
  <c r="E61" i="53"/>
  <c r="E32" i="52"/>
  <c r="T29" i="52"/>
  <c r="E57" i="51"/>
  <c r="T58" i="51"/>
  <c r="T29" i="50"/>
  <c r="E32" i="50"/>
  <c r="AD33" i="44"/>
  <c r="AD34" i="44" s="1"/>
  <c r="K13" i="36" l="1"/>
  <c r="O13" i="36" s="1"/>
  <c r="O31" i="36"/>
  <c r="K13" i="34"/>
  <c r="O31" i="34"/>
  <c r="O12" i="34"/>
  <c r="O31" i="32"/>
  <c r="K13" i="32"/>
  <c r="O13" i="32" s="1"/>
  <c r="T59" i="53"/>
  <c r="T30" i="52"/>
  <c r="E58" i="51"/>
  <c r="T59" i="51"/>
  <c r="T30" i="50"/>
  <c r="C1" i="30"/>
  <c r="C1" i="29"/>
  <c r="D1" i="28"/>
  <c r="V17" i="41"/>
  <c r="G17" i="41"/>
  <c r="V16" i="41"/>
  <c r="G16" i="41"/>
  <c r="V15" i="41"/>
  <c r="U15" i="41"/>
  <c r="G15" i="41"/>
  <c r="F15" i="41"/>
  <c r="U14" i="41"/>
  <c r="F14" i="41"/>
  <c r="U13" i="41"/>
  <c r="F13" i="41"/>
  <c r="U12" i="41"/>
  <c r="F12" i="41"/>
  <c r="U11" i="41"/>
  <c r="F11" i="41"/>
  <c r="V10" i="41"/>
  <c r="U10" i="41"/>
  <c r="G10" i="41"/>
  <c r="F10" i="41"/>
  <c r="V9" i="41"/>
  <c r="G9" i="41"/>
  <c r="V8" i="41"/>
  <c r="G8" i="41"/>
  <c r="V7" i="41"/>
  <c r="G7" i="41"/>
  <c r="V6" i="41"/>
  <c r="G6" i="41"/>
  <c r="B1" i="41"/>
  <c r="O13" i="34" l="1"/>
  <c r="T60" i="53"/>
  <c r="T31" i="52"/>
  <c r="T60" i="51"/>
  <c r="E59" i="51"/>
  <c r="T31" i="50"/>
  <c r="M164" i="6"/>
  <c r="Q168" i="6" s="1"/>
  <c r="N58" i="3"/>
  <c r="O58" i="3"/>
  <c r="N59" i="3"/>
  <c r="N60" i="3"/>
  <c r="O60" i="3"/>
  <c r="N61" i="3"/>
  <c r="O61" i="3"/>
  <c r="N62" i="3"/>
  <c r="O62" i="3"/>
  <c r="N63" i="3"/>
  <c r="O63" i="3"/>
  <c r="N64" i="3"/>
  <c r="O64" i="3"/>
  <c r="O57" i="3"/>
  <c r="N57" i="3"/>
  <c r="C1" i="40"/>
  <c r="B1" i="40"/>
  <c r="C1" i="36"/>
  <c r="C1" i="35"/>
  <c r="D1" i="31"/>
  <c r="D1" i="32"/>
  <c r="D1" i="38"/>
  <c r="C1" i="33"/>
  <c r="C1" i="39"/>
  <c r="C1" i="34"/>
  <c r="E40" i="6" l="1"/>
  <c r="E54" i="6"/>
  <c r="E94" i="6" s="1"/>
  <c r="E47" i="6"/>
  <c r="E43" i="6"/>
  <c r="E59" i="6"/>
  <c r="E99" i="6" s="1"/>
  <c r="E45" i="6"/>
  <c r="E41" i="6"/>
  <c r="E60" i="6"/>
  <c r="E100" i="6" s="1"/>
  <c r="E58" i="6"/>
  <c r="E98" i="6" s="1"/>
  <c r="E55" i="6"/>
  <c r="E95" i="6" s="1"/>
  <c r="E44" i="6"/>
  <c r="E61" i="6"/>
  <c r="E101" i="6" s="1"/>
  <c r="E57" i="6"/>
  <c r="E97" i="6" s="1"/>
  <c r="E46" i="6"/>
  <c r="E56" i="6"/>
  <c r="E96" i="6" s="1"/>
  <c r="E42" i="6"/>
  <c r="T61" i="53"/>
  <c r="T32" i="52"/>
  <c r="T61" i="51"/>
  <c r="E60" i="51"/>
  <c r="T32" i="50"/>
  <c r="B1" i="39"/>
  <c r="B1" i="38"/>
  <c r="E61" i="51" l="1"/>
  <c r="C29" i="14" l="1"/>
  <c r="D12" i="47"/>
  <c r="E20" i="28"/>
  <c r="E20" i="47"/>
  <c r="T50" i="38"/>
  <c r="T51" i="38" s="1"/>
  <c r="T52" i="38" s="1"/>
  <c r="E50" i="38"/>
  <c r="E51" i="38" s="1"/>
  <c r="E52" i="38" s="1"/>
  <c r="E53" i="38" s="1"/>
  <c r="T50" i="39"/>
  <c r="T51" i="39" s="1"/>
  <c r="T52" i="39" s="1"/>
  <c r="E50" i="39"/>
  <c r="E51" i="39" s="1"/>
  <c r="E52" i="39" s="1"/>
  <c r="E53" i="39" s="1"/>
  <c r="E6" i="41"/>
  <c r="T6" i="41"/>
  <c r="G12" i="47" l="1"/>
  <c r="E54" i="39"/>
  <c r="E55" i="39" s="1"/>
  <c r="E56" i="39" s="1"/>
  <c r="E57" i="39" s="1"/>
  <c r="I53" i="39"/>
  <c r="D12" i="29"/>
  <c r="D12" i="30"/>
  <c r="E54" i="38"/>
  <c r="E55" i="38" s="1"/>
  <c r="E56" i="38" s="1"/>
  <c r="E57" i="38" s="1"/>
  <c r="I53" i="38"/>
  <c r="D12" i="28"/>
  <c r="T21" i="47"/>
  <c r="T22" i="47" s="1"/>
  <c r="T23" i="47" s="1"/>
  <c r="T24" i="47" s="1"/>
  <c r="E21" i="47"/>
  <c r="E22" i="47" s="1"/>
  <c r="E23" i="47" s="1"/>
  <c r="E24" i="47" s="1"/>
  <c r="E25" i="47" s="1"/>
  <c r="E26" i="47" s="1"/>
  <c r="E27" i="47" s="1"/>
  <c r="E28" i="47" s="1"/>
  <c r="E29" i="47" s="1"/>
  <c r="E30" i="47" s="1"/>
  <c r="E31" i="47" s="1"/>
  <c r="T50" i="48"/>
  <c r="E50" i="48"/>
  <c r="E50" i="40"/>
  <c r="E51" i="40" s="1"/>
  <c r="E52" i="40" s="1"/>
  <c r="E53" i="40" s="1"/>
  <c r="T50" i="40"/>
  <c r="T51" i="40" s="1"/>
  <c r="T52" i="40" s="1"/>
  <c r="T53" i="40" s="1"/>
  <c r="T7" i="41"/>
  <c r="T8" i="41" s="1"/>
  <c r="T9" i="41" s="1"/>
  <c r="T10" i="41" s="1"/>
  <c r="T11" i="41" s="1"/>
  <c r="T12" i="41" s="1"/>
  <c r="T13" i="41" s="1"/>
  <c r="T14" i="41" s="1"/>
  <c r="T15" i="41" s="1"/>
  <c r="T16" i="41" s="1"/>
  <c r="T17" i="41" s="1"/>
  <c r="E7" i="41"/>
  <c r="E8" i="41" s="1"/>
  <c r="E9" i="41" s="1"/>
  <c r="E10" i="41" s="1"/>
  <c r="E11" i="41" s="1"/>
  <c r="E12" i="41" s="1"/>
  <c r="E13" i="41" s="1"/>
  <c r="E14" i="41" s="1"/>
  <c r="E15" i="41" s="1"/>
  <c r="E16" i="41" s="1"/>
  <c r="E17" i="41" s="1"/>
  <c r="T53" i="39"/>
  <c r="X53" i="39" s="1"/>
  <c r="T53" i="38"/>
  <c r="T54" i="40" l="1"/>
  <c r="T55" i="40" s="1"/>
  <c r="T56" i="40" s="1"/>
  <c r="T57" i="40" s="1"/>
  <c r="T58" i="40" s="1"/>
  <c r="X53" i="40"/>
  <c r="T25" i="47"/>
  <c r="T26" i="47" s="1"/>
  <c r="T27" i="47" s="1"/>
  <c r="T28" i="47" s="1"/>
  <c r="T29" i="47" s="1"/>
  <c r="X53" i="38"/>
  <c r="E54" i="40"/>
  <c r="E55" i="40" s="1"/>
  <c r="E56" i="40" s="1"/>
  <c r="E57" i="40" s="1"/>
  <c r="E58" i="40" s="1"/>
  <c r="I53" i="40"/>
  <c r="E32" i="47"/>
  <c r="E51" i="48"/>
  <c r="T51" i="48"/>
  <c r="E18" i="41"/>
  <c r="T18" i="41"/>
  <c r="T54" i="39"/>
  <c r="E58" i="39"/>
  <c r="I58" i="39" s="1"/>
  <c r="E58" i="38"/>
  <c r="T54" i="38"/>
  <c r="N50" i="3"/>
  <c r="E32" i="6" s="1"/>
  <c r="N51" i="3"/>
  <c r="E33" i="6" s="1"/>
  <c r="N52" i="3"/>
  <c r="E34" i="6" s="1"/>
  <c r="N53" i="3"/>
  <c r="E35" i="6" s="1"/>
  <c r="N54" i="3"/>
  <c r="E36" i="6" s="1"/>
  <c r="N55" i="3"/>
  <c r="E37" i="6" s="1"/>
  <c r="N56" i="3"/>
  <c r="E38" i="6" s="1"/>
  <c r="N49" i="3"/>
  <c r="E31" i="6" s="1"/>
  <c r="T59" i="40" l="1"/>
  <c r="X58" i="40"/>
  <c r="T30" i="47"/>
  <c r="E59" i="40"/>
  <c r="I58" i="40"/>
  <c r="I58" i="38"/>
  <c r="T52" i="48"/>
  <c r="E52" i="48"/>
  <c r="E59" i="39"/>
  <c r="T55" i="39"/>
  <c r="T55" i="38"/>
  <c r="E59" i="38"/>
  <c r="B1" i="36"/>
  <c r="B1" i="35"/>
  <c r="B1" i="34"/>
  <c r="B1" i="33"/>
  <c r="B1" i="32"/>
  <c r="B1" i="31"/>
  <c r="B1" i="30"/>
  <c r="B1" i="29"/>
  <c r="B1" i="28"/>
  <c r="T60" i="40" l="1"/>
  <c r="T61" i="40" s="1"/>
  <c r="T31" i="47"/>
  <c r="T32" i="47" s="1"/>
  <c r="E60" i="40"/>
  <c r="E61" i="40" s="1"/>
  <c r="E53" i="48"/>
  <c r="T53" i="48"/>
  <c r="T56" i="39"/>
  <c r="E60" i="39"/>
  <c r="E60" i="38"/>
  <c r="T56" i="38"/>
  <c r="E54" i="48" l="1"/>
  <c r="T54" i="48"/>
  <c r="E61" i="39"/>
  <c r="T57" i="39"/>
  <c r="T57" i="38"/>
  <c r="E61" i="38"/>
  <c r="T55" i="48" l="1"/>
  <c r="E55" i="48"/>
  <c r="T58" i="39"/>
  <c r="X58" i="39" s="1"/>
  <c r="T58" i="38"/>
  <c r="O87" i="6"/>
  <c r="O86" i="6"/>
  <c r="O85" i="6"/>
  <c r="O84" i="6"/>
  <c r="O83" i="6"/>
  <c r="O82" i="6"/>
  <c r="O81" i="6"/>
  <c r="O80" i="6"/>
  <c r="O78" i="6"/>
  <c r="O73" i="6"/>
  <c r="O74" i="6"/>
  <c r="O75" i="6"/>
  <c r="O76" i="6"/>
  <c r="O77" i="6"/>
  <c r="O72" i="6"/>
  <c r="O71" i="6"/>
  <c r="O70" i="6"/>
  <c r="O47" i="6"/>
  <c r="O46" i="6"/>
  <c r="O45" i="6"/>
  <c r="O44" i="6"/>
  <c r="O43" i="6"/>
  <c r="O42" i="6"/>
  <c r="O41" i="6"/>
  <c r="O40" i="6"/>
  <c r="O38" i="6"/>
  <c r="O33" i="6"/>
  <c r="O34" i="6"/>
  <c r="O35" i="6"/>
  <c r="O36" i="6"/>
  <c r="O37" i="6"/>
  <c r="O32" i="6"/>
  <c r="O31" i="6"/>
  <c r="O30" i="6"/>
  <c r="X58" i="38" l="1"/>
  <c r="E56" i="48"/>
  <c r="T56" i="48"/>
  <c r="T59" i="39"/>
  <c r="T59" i="38"/>
  <c r="H46" i="8"/>
  <c r="X45" i="8"/>
  <c r="H45" i="8"/>
  <c r="H59" i="8" s="1"/>
  <c r="E57" i="48" l="1"/>
  <c r="T57" i="48"/>
  <c r="T60" i="39"/>
  <c r="T60" i="38"/>
  <c r="U15" i="4"/>
  <c r="U14" i="4"/>
  <c r="U13" i="4"/>
  <c r="U12" i="4"/>
  <c r="U11" i="4"/>
  <c r="U10" i="4"/>
  <c r="F10" i="4"/>
  <c r="F15" i="5"/>
  <c r="F14" i="5"/>
  <c r="F13" i="5"/>
  <c r="F12" i="5"/>
  <c r="F11" i="5"/>
  <c r="F10" i="5"/>
  <c r="U15" i="5"/>
  <c r="U14" i="5"/>
  <c r="U13" i="5"/>
  <c r="U12" i="5"/>
  <c r="U11" i="5"/>
  <c r="U10" i="5"/>
  <c r="F15" i="4"/>
  <c r="F14" i="4"/>
  <c r="F13" i="4"/>
  <c r="F12" i="4"/>
  <c r="F11" i="4"/>
  <c r="E99" i="16"/>
  <c r="P13" i="9"/>
  <c r="P12" i="9"/>
  <c r="P11" i="9"/>
  <c r="P10" i="9"/>
  <c r="P9" i="9"/>
  <c r="P8" i="9"/>
  <c r="P7" i="9"/>
  <c r="P6" i="9"/>
  <c r="O13" i="9"/>
  <c r="O12" i="9"/>
  <c r="O11" i="9"/>
  <c r="O10" i="9"/>
  <c r="O9" i="9"/>
  <c r="O8" i="9"/>
  <c r="O7" i="9"/>
  <c r="O6" i="9"/>
  <c r="N13" i="9"/>
  <c r="N12" i="9"/>
  <c r="N11" i="9"/>
  <c r="N8" i="9"/>
  <c r="N9" i="9"/>
  <c r="N10" i="9"/>
  <c r="N7" i="9"/>
  <c r="N6" i="9"/>
  <c r="M13" i="9"/>
  <c r="M12" i="9"/>
  <c r="M11" i="9"/>
  <c r="M10" i="9"/>
  <c r="M7" i="9"/>
  <c r="M8" i="9"/>
  <c r="M9" i="9"/>
  <c r="M6" i="9"/>
  <c r="L13" i="9"/>
  <c r="K13" i="9"/>
  <c r="L12" i="9"/>
  <c r="K12" i="9"/>
  <c r="L11" i="9"/>
  <c r="K11" i="9"/>
  <c r="K10" i="9"/>
  <c r="L10" i="9"/>
  <c r="J12" i="9"/>
  <c r="J11" i="9"/>
  <c r="J10" i="9"/>
  <c r="J9" i="9"/>
  <c r="I11" i="9"/>
  <c r="I10" i="9"/>
  <c r="I9" i="9"/>
  <c r="I8" i="9"/>
  <c r="H10" i="9"/>
  <c r="H9" i="9"/>
  <c r="H8" i="9"/>
  <c r="H7" i="9"/>
  <c r="C8" i="9"/>
  <c r="J13" i="9"/>
  <c r="I13" i="9"/>
  <c r="I12" i="9"/>
  <c r="H11" i="9"/>
  <c r="H12" i="9"/>
  <c r="H13" i="9"/>
  <c r="L5" i="9"/>
  <c r="K5" i="9"/>
  <c r="J5" i="9"/>
  <c r="J8" i="9"/>
  <c r="J7" i="9"/>
  <c r="J6" i="9"/>
  <c r="L9" i="9"/>
  <c r="L8" i="9"/>
  <c r="L7" i="9"/>
  <c r="L6" i="9"/>
  <c r="K9" i="9"/>
  <c r="K8" i="9"/>
  <c r="K7" i="9"/>
  <c r="K6" i="9"/>
  <c r="I5" i="9"/>
  <c r="I7" i="9"/>
  <c r="I6" i="9"/>
  <c r="H6" i="9"/>
  <c r="G13" i="9"/>
  <c r="G12" i="9"/>
  <c r="G11" i="9"/>
  <c r="G10" i="9"/>
  <c r="G9" i="9"/>
  <c r="G8" i="9"/>
  <c r="G7" i="9"/>
  <c r="G6" i="9"/>
  <c r="F13" i="9"/>
  <c r="F12" i="9"/>
  <c r="F11" i="9"/>
  <c r="F10" i="9"/>
  <c r="F9" i="9"/>
  <c r="F8" i="9"/>
  <c r="F7" i="9"/>
  <c r="F6" i="9"/>
  <c r="E13" i="9"/>
  <c r="E12" i="9"/>
  <c r="E11" i="9"/>
  <c r="E10" i="9"/>
  <c r="E9" i="9"/>
  <c r="E8" i="9"/>
  <c r="E7" i="9"/>
  <c r="E6" i="9"/>
  <c r="D6" i="9"/>
  <c r="D7" i="9"/>
  <c r="D8" i="9"/>
  <c r="D13" i="9"/>
  <c r="D12" i="9"/>
  <c r="D11" i="9"/>
  <c r="D10" i="9"/>
  <c r="D9" i="9"/>
  <c r="C7" i="9"/>
  <c r="C13" i="9"/>
  <c r="C12" i="9"/>
  <c r="C11" i="9"/>
  <c r="C10" i="9"/>
  <c r="C9" i="9"/>
  <c r="C6" i="9"/>
  <c r="G29" i="19"/>
  <c r="G66" i="19" s="1"/>
  <c r="F29" i="19"/>
  <c r="G16" i="19"/>
  <c r="Q15" i="6"/>
  <c r="D99" i="16"/>
  <c r="T58" i="48" l="1"/>
  <c r="E58" i="48"/>
  <c r="T61" i="39"/>
  <c r="T61" i="38"/>
  <c r="E5" i="6"/>
  <c r="J6" i="6"/>
  <c r="E6" i="6"/>
  <c r="V17" i="5"/>
  <c r="V16" i="5"/>
  <c r="V15" i="5"/>
  <c r="V10" i="5"/>
  <c r="V9" i="5"/>
  <c r="V8" i="5"/>
  <c r="V7" i="5"/>
  <c r="V6" i="5"/>
  <c r="V17" i="4"/>
  <c r="V16" i="4"/>
  <c r="V15" i="4"/>
  <c r="V10" i="4"/>
  <c r="V9" i="4"/>
  <c r="V8" i="4"/>
  <c r="V7" i="4"/>
  <c r="V6" i="4"/>
  <c r="T59" i="48" l="1"/>
  <c r="E59" i="48"/>
  <c r="H8" i="6"/>
  <c r="E8" i="6"/>
  <c r="K4" i="6"/>
  <c r="Q46" i="3"/>
  <c r="Q45" i="3"/>
  <c r="Q44" i="3"/>
  <c r="Q43" i="3"/>
  <c r="F11" i="6"/>
  <c r="F10" i="6"/>
  <c r="E7" i="6"/>
  <c r="I13" i="6"/>
  <c r="H15" i="6"/>
  <c r="N15" i="6"/>
  <c r="H16" i="6"/>
  <c r="H17" i="6"/>
  <c r="H18" i="6"/>
  <c r="H19" i="6"/>
  <c r="H20" i="6"/>
  <c r="H21" i="6"/>
  <c r="H22" i="6"/>
  <c r="H23" i="6"/>
  <c r="G16" i="6"/>
  <c r="G17" i="6"/>
  <c r="G18" i="6"/>
  <c r="G19" i="6"/>
  <c r="G20" i="6"/>
  <c r="G21" i="6"/>
  <c r="G22" i="6"/>
  <c r="G23" i="6"/>
  <c r="V141" i="3"/>
  <c r="H141" i="3" s="1"/>
  <c r="M17" i="6" s="1"/>
  <c r="V142" i="3"/>
  <c r="H142" i="3" s="1"/>
  <c r="Q18" i="6" s="1"/>
  <c r="V143" i="3"/>
  <c r="H143" i="3" s="1"/>
  <c r="M19" i="6" s="1"/>
  <c r="V144" i="3"/>
  <c r="H144" i="3" s="1"/>
  <c r="M20" i="6" s="1"/>
  <c r="V145" i="3"/>
  <c r="H145" i="3" s="1"/>
  <c r="M21" i="6" s="1"/>
  <c r="V146" i="3"/>
  <c r="H146" i="3" s="1"/>
  <c r="Q22" i="6" s="1"/>
  <c r="V149" i="3"/>
  <c r="H147" i="3" s="1"/>
  <c r="M23" i="6" s="1"/>
  <c r="V140" i="3"/>
  <c r="H140" i="3" s="1"/>
  <c r="M16" i="6" s="1"/>
  <c r="X6" i="6"/>
  <c r="M60" i="19"/>
  <c r="P87" i="6" s="1"/>
  <c r="M59" i="19"/>
  <c r="P86" i="6" s="1"/>
  <c r="M58" i="19"/>
  <c r="P85" i="6" s="1"/>
  <c r="M57" i="19"/>
  <c r="P84" i="6" s="1"/>
  <c r="M56" i="19"/>
  <c r="P83" i="6" s="1"/>
  <c r="M55" i="19"/>
  <c r="P82" i="6" s="1"/>
  <c r="M54" i="19"/>
  <c r="P81" i="6" s="1"/>
  <c r="M53" i="19"/>
  <c r="P80" i="6" s="1"/>
  <c r="M52" i="19"/>
  <c r="P78" i="6" s="1"/>
  <c r="M51" i="19"/>
  <c r="P77" i="6" s="1"/>
  <c r="M50" i="19"/>
  <c r="P76" i="6" s="1"/>
  <c r="M49" i="19"/>
  <c r="P75" i="6" s="1"/>
  <c r="M48" i="19"/>
  <c r="P74" i="6" s="1"/>
  <c r="M47" i="19"/>
  <c r="P73" i="6" s="1"/>
  <c r="M46" i="19"/>
  <c r="P72" i="6" s="1"/>
  <c r="M45" i="19"/>
  <c r="P71" i="6" s="1"/>
  <c r="M44" i="19"/>
  <c r="P70" i="6" s="1"/>
  <c r="K36" i="19"/>
  <c r="K73" i="19" s="1"/>
  <c r="I36" i="19"/>
  <c r="I73" i="19" s="1"/>
  <c r="G36" i="19"/>
  <c r="G73" i="19" s="1"/>
  <c r="F36" i="19"/>
  <c r="K35" i="19"/>
  <c r="K72" i="19" s="1"/>
  <c r="I35" i="19"/>
  <c r="I72" i="19" s="1"/>
  <c r="G35" i="19"/>
  <c r="G72" i="19" s="1"/>
  <c r="F35" i="19"/>
  <c r="K34" i="19"/>
  <c r="K71" i="19" s="1"/>
  <c r="I34" i="19"/>
  <c r="I71" i="19" s="1"/>
  <c r="G34" i="19"/>
  <c r="G71" i="19" s="1"/>
  <c r="F34" i="19"/>
  <c r="K33" i="19"/>
  <c r="K70" i="19" s="1"/>
  <c r="I33" i="19"/>
  <c r="I70" i="19" s="1"/>
  <c r="G33" i="19"/>
  <c r="G70" i="19" s="1"/>
  <c r="F33" i="19"/>
  <c r="K32" i="19"/>
  <c r="K69" i="19" s="1"/>
  <c r="I32" i="19"/>
  <c r="I69" i="19" s="1"/>
  <c r="G32" i="19"/>
  <c r="G69" i="19" s="1"/>
  <c r="F32" i="19"/>
  <c r="K31" i="19"/>
  <c r="K68" i="19" s="1"/>
  <c r="I31" i="19"/>
  <c r="I68" i="19" s="1"/>
  <c r="G31" i="19"/>
  <c r="G68" i="19" s="1"/>
  <c r="F31" i="19"/>
  <c r="K30" i="19"/>
  <c r="K67" i="19" s="1"/>
  <c r="I30" i="19"/>
  <c r="I67" i="19" s="1"/>
  <c r="G30" i="19"/>
  <c r="G67" i="19" s="1"/>
  <c r="F30" i="19"/>
  <c r="K29" i="19"/>
  <c r="K66" i="19" s="1"/>
  <c r="I29" i="19"/>
  <c r="I66" i="19" s="1"/>
  <c r="M23" i="19"/>
  <c r="P47" i="6" s="1"/>
  <c r="F23" i="19"/>
  <c r="E23" i="19"/>
  <c r="E60" i="19" s="1"/>
  <c r="E73" i="19" s="1"/>
  <c r="M22" i="19"/>
  <c r="P46" i="6" s="1"/>
  <c r="F22" i="19"/>
  <c r="E22" i="19"/>
  <c r="E35" i="19" s="1"/>
  <c r="M21" i="19"/>
  <c r="P45" i="6" s="1"/>
  <c r="F21" i="19"/>
  <c r="E21" i="19"/>
  <c r="E58" i="19" s="1"/>
  <c r="E71" i="19" s="1"/>
  <c r="M20" i="19"/>
  <c r="P44" i="6" s="1"/>
  <c r="F20" i="19"/>
  <c r="E20" i="19"/>
  <c r="E33" i="19" s="1"/>
  <c r="M19" i="19"/>
  <c r="P43" i="6" s="1"/>
  <c r="F19" i="19"/>
  <c r="E19" i="19"/>
  <c r="E56" i="19" s="1"/>
  <c r="E69" i="19" s="1"/>
  <c r="M18" i="19"/>
  <c r="P42" i="6" s="1"/>
  <c r="F18" i="19"/>
  <c r="E18" i="19"/>
  <c r="E31" i="19" s="1"/>
  <c r="M17" i="19"/>
  <c r="P41" i="6" s="1"/>
  <c r="F17" i="19"/>
  <c r="E17" i="19"/>
  <c r="E54" i="19" s="1"/>
  <c r="E67" i="19" s="1"/>
  <c r="M16" i="19"/>
  <c r="P40" i="6" s="1"/>
  <c r="K16" i="19"/>
  <c r="K53" i="19" s="1"/>
  <c r="I16" i="19"/>
  <c r="I17" i="19" s="1"/>
  <c r="G53" i="19"/>
  <c r="F16" i="19"/>
  <c r="E16" i="19"/>
  <c r="E53" i="19" s="1"/>
  <c r="E66" i="19" s="1"/>
  <c r="M15" i="19"/>
  <c r="P38" i="6" s="1"/>
  <c r="E15" i="19"/>
  <c r="E52" i="19" s="1"/>
  <c r="M14" i="19"/>
  <c r="P37" i="6" s="1"/>
  <c r="E14" i="19"/>
  <c r="E51" i="19" s="1"/>
  <c r="M13" i="19"/>
  <c r="P36" i="6" s="1"/>
  <c r="E13" i="19"/>
  <c r="E50" i="19" s="1"/>
  <c r="M12" i="19"/>
  <c r="P35" i="6" s="1"/>
  <c r="E12" i="19"/>
  <c r="E49" i="19" s="1"/>
  <c r="M11" i="19"/>
  <c r="P34" i="6" s="1"/>
  <c r="E11" i="19"/>
  <c r="E48" i="19" s="1"/>
  <c r="M10" i="19"/>
  <c r="P33" i="6" s="1"/>
  <c r="E10" i="19"/>
  <c r="M9" i="19"/>
  <c r="P32" i="6" s="1"/>
  <c r="E9" i="19"/>
  <c r="E46" i="19" s="1"/>
  <c r="M8" i="19"/>
  <c r="P31" i="6" s="1"/>
  <c r="E8" i="19"/>
  <c r="E45" i="19" s="1"/>
  <c r="M7" i="19"/>
  <c r="E7" i="19"/>
  <c r="E44" i="19" s="1"/>
  <c r="R46" i="3" l="1"/>
  <c r="K7" i="6" s="1"/>
  <c r="E60" i="48"/>
  <c r="T60" i="48"/>
  <c r="P30" i="6"/>
  <c r="J31" i="19"/>
  <c r="X7" i="6"/>
  <c r="I7" i="6"/>
  <c r="Q23" i="6"/>
  <c r="Q19" i="6"/>
  <c r="Q20" i="6"/>
  <c r="Q16" i="6"/>
  <c r="M22" i="6"/>
  <c r="M18" i="6"/>
  <c r="Q21" i="6"/>
  <c r="Q17" i="6"/>
  <c r="G147" i="3"/>
  <c r="G144" i="3"/>
  <c r="G143" i="3"/>
  <c r="G142" i="3"/>
  <c r="G146" i="3"/>
  <c r="G141" i="3"/>
  <c r="G145" i="3"/>
  <c r="G140" i="3"/>
  <c r="E30" i="19"/>
  <c r="J30" i="19" s="1"/>
  <c r="J35" i="19"/>
  <c r="G17" i="19"/>
  <c r="G18" i="19" s="1"/>
  <c r="G19" i="19" s="1"/>
  <c r="G20" i="19" s="1"/>
  <c r="H20" i="19" s="1"/>
  <c r="O21" i="19"/>
  <c r="K17" i="19"/>
  <c r="K18" i="19" s="1"/>
  <c r="L18" i="19" s="1"/>
  <c r="O17" i="19"/>
  <c r="E32" i="19"/>
  <c r="J32" i="19" s="1"/>
  <c r="E47" i="19"/>
  <c r="O18" i="19"/>
  <c r="O19" i="19"/>
  <c r="O22" i="19"/>
  <c r="O23" i="19"/>
  <c r="E36" i="19"/>
  <c r="J36" i="19" s="1"/>
  <c r="O16" i="19"/>
  <c r="O20" i="19"/>
  <c r="J33" i="19"/>
  <c r="E34" i="19"/>
  <c r="J34" i="19" s="1"/>
  <c r="J16" i="19"/>
  <c r="E29" i="19"/>
  <c r="J29" i="19" s="1"/>
  <c r="E55" i="19"/>
  <c r="E68" i="19" s="1"/>
  <c r="E57" i="19"/>
  <c r="E70" i="19" s="1"/>
  <c r="E59" i="19"/>
  <c r="E72" i="19" s="1"/>
  <c r="I54" i="19"/>
  <c r="J17" i="19"/>
  <c r="I18" i="19"/>
  <c r="I53" i="19"/>
  <c r="H16" i="19"/>
  <c r="L16" i="19"/>
  <c r="H31" i="19"/>
  <c r="L31" i="19"/>
  <c r="H33" i="19"/>
  <c r="L33" i="19"/>
  <c r="H35" i="19"/>
  <c r="L35" i="19"/>
  <c r="C62" i="14"/>
  <c r="C61" i="14"/>
  <c r="E29" i="3"/>
  <c r="K8" i="6" s="1"/>
  <c r="E106" i="16"/>
  <c r="D106" i="16"/>
  <c r="E105" i="16"/>
  <c r="D105" i="16"/>
  <c r="E104" i="16"/>
  <c r="D104" i="16"/>
  <c r="E103" i="16"/>
  <c r="D103" i="16"/>
  <c r="E102" i="16"/>
  <c r="D102" i="16"/>
  <c r="E101" i="16"/>
  <c r="D101" i="16"/>
  <c r="E100" i="16"/>
  <c r="D100" i="16"/>
  <c r="J49" i="53" l="1"/>
  <c r="J50" i="53" s="1"/>
  <c r="J51" i="53" s="1"/>
  <c r="J52" i="53" s="1"/>
  <c r="J53" i="53" s="1"/>
  <c r="J54" i="53" s="1"/>
  <c r="J55" i="53" s="1"/>
  <c r="J56" i="53" s="1"/>
  <c r="J57" i="53" s="1"/>
  <c r="J58" i="53" s="1"/>
  <c r="J59" i="53" s="1"/>
  <c r="J60" i="53" s="1"/>
  <c r="J20" i="52"/>
  <c r="J21" i="52" s="1"/>
  <c r="J22" i="52" s="1"/>
  <c r="J23" i="52" s="1"/>
  <c r="J24" i="52" s="1"/>
  <c r="J25" i="52" s="1"/>
  <c r="J26" i="52" s="1"/>
  <c r="J27" i="52" s="1"/>
  <c r="J28" i="52" s="1"/>
  <c r="J29" i="52" s="1"/>
  <c r="J30" i="52" s="1"/>
  <c r="J31" i="52" s="1"/>
  <c r="Y20" i="52"/>
  <c r="Y21" i="52" s="1"/>
  <c r="Y22" i="52" s="1"/>
  <c r="Y23" i="52" s="1"/>
  <c r="Y24" i="52" s="1"/>
  <c r="Y25" i="52" s="1"/>
  <c r="Y26" i="52" s="1"/>
  <c r="Y27" i="52" s="1"/>
  <c r="Y28" i="52" s="1"/>
  <c r="Y29" i="52" s="1"/>
  <c r="Y30" i="52" s="1"/>
  <c r="Y31" i="52" s="1"/>
  <c r="Y49" i="53"/>
  <c r="Y50" i="53" s="1"/>
  <c r="Y51" i="53" s="1"/>
  <c r="Y52" i="53" s="1"/>
  <c r="Y53" i="53" s="1"/>
  <c r="Y54" i="53" s="1"/>
  <c r="Y55" i="53" s="1"/>
  <c r="Y56" i="53" s="1"/>
  <c r="Y57" i="53" s="1"/>
  <c r="Y58" i="53" s="1"/>
  <c r="Y59" i="53" s="1"/>
  <c r="Y60" i="53" s="1"/>
  <c r="K49" i="53"/>
  <c r="K50" i="53" s="1"/>
  <c r="K51" i="53" s="1"/>
  <c r="K52" i="53" s="1"/>
  <c r="K53" i="53" s="1"/>
  <c r="K54" i="53" s="1"/>
  <c r="K55" i="53" s="1"/>
  <c r="K56" i="53" s="1"/>
  <c r="K57" i="53" s="1"/>
  <c r="K58" i="53" s="1"/>
  <c r="K59" i="53" s="1"/>
  <c r="K60" i="53" s="1"/>
  <c r="Z20" i="52"/>
  <c r="Z49" i="53"/>
  <c r="Z50" i="53" s="1"/>
  <c r="Z51" i="53" s="1"/>
  <c r="Z52" i="53" s="1"/>
  <c r="Z53" i="53" s="1"/>
  <c r="Z54" i="53" s="1"/>
  <c r="Z55" i="53" s="1"/>
  <c r="Z56" i="53" s="1"/>
  <c r="Z57" i="53" s="1"/>
  <c r="Z58" i="53" s="1"/>
  <c r="Z59" i="53" s="1"/>
  <c r="Z60" i="53" s="1"/>
  <c r="K20" i="52"/>
  <c r="J49" i="51"/>
  <c r="J50" i="51" s="1"/>
  <c r="J51" i="51" s="1"/>
  <c r="J52" i="51" s="1"/>
  <c r="J53" i="51" s="1"/>
  <c r="J54" i="51" s="1"/>
  <c r="J55" i="51" s="1"/>
  <c r="J56" i="51" s="1"/>
  <c r="J57" i="51" s="1"/>
  <c r="J58" i="51" s="1"/>
  <c r="J59" i="51" s="1"/>
  <c r="J60" i="51" s="1"/>
  <c r="J20" i="50"/>
  <c r="J21" i="50" s="1"/>
  <c r="J22" i="50" s="1"/>
  <c r="J23" i="50" s="1"/>
  <c r="J24" i="50" s="1"/>
  <c r="J25" i="50" s="1"/>
  <c r="J26" i="50" s="1"/>
  <c r="J27" i="50" s="1"/>
  <c r="J28" i="50" s="1"/>
  <c r="J29" i="50" s="1"/>
  <c r="J30" i="50" s="1"/>
  <c r="J31" i="50" s="1"/>
  <c r="Y49" i="51"/>
  <c r="Y50" i="51" s="1"/>
  <c r="Y51" i="51" s="1"/>
  <c r="Y52" i="51" s="1"/>
  <c r="Y53" i="51" s="1"/>
  <c r="Y54" i="51" s="1"/>
  <c r="Y55" i="51" s="1"/>
  <c r="Y56" i="51" s="1"/>
  <c r="Y57" i="51" s="1"/>
  <c r="Y58" i="51" s="1"/>
  <c r="Y59" i="51" s="1"/>
  <c r="Y60" i="51" s="1"/>
  <c r="Y20" i="50"/>
  <c r="Y21" i="50" s="1"/>
  <c r="Y22" i="50" s="1"/>
  <c r="Y23" i="50" s="1"/>
  <c r="Y24" i="50" s="1"/>
  <c r="Y25" i="50" s="1"/>
  <c r="Y26" i="50" s="1"/>
  <c r="Y27" i="50" s="1"/>
  <c r="Y28" i="50" s="1"/>
  <c r="Y29" i="50" s="1"/>
  <c r="Y30" i="50" s="1"/>
  <c r="Y31" i="50" s="1"/>
  <c r="K20" i="50"/>
  <c r="K49" i="51"/>
  <c r="K50" i="51" s="1"/>
  <c r="K51" i="51" s="1"/>
  <c r="K52" i="51" s="1"/>
  <c r="K53" i="51" s="1"/>
  <c r="K54" i="51" s="1"/>
  <c r="K55" i="51" s="1"/>
  <c r="K56" i="51" s="1"/>
  <c r="K57" i="51" s="1"/>
  <c r="K58" i="51" s="1"/>
  <c r="K59" i="51" s="1"/>
  <c r="K60" i="51" s="1"/>
  <c r="Z49" i="51"/>
  <c r="Z50" i="51" s="1"/>
  <c r="Z51" i="51" s="1"/>
  <c r="Z52" i="51" s="1"/>
  <c r="Z53" i="51" s="1"/>
  <c r="Z54" i="51" s="1"/>
  <c r="Z55" i="51" s="1"/>
  <c r="Z56" i="51" s="1"/>
  <c r="Z57" i="51" s="1"/>
  <c r="Z58" i="51" s="1"/>
  <c r="Z59" i="51" s="1"/>
  <c r="Z60" i="51" s="1"/>
  <c r="Z20" i="50"/>
  <c r="K55" i="19"/>
  <c r="Y54" i="48"/>
  <c r="Y51" i="48"/>
  <c r="J50" i="48"/>
  <c r="Y31" i="47"/>
  <c r="J29" i="47"/>
  <c r="J25" i="47"/>
  <c r="Y22" i="47"/>
  <c r="Y56" i="48"/>
  <c r="Y30" i="47"/>
  <c r="Y60" i="48"/>
  <c r="J59" i="48"/>
  <c r="Y57" i="48"/>
  <c r="J56" i="48"/>
  <c r="J53" i="48"/>
  <c r="J30" i="47"/>
  <c r="Y27" i="47"/>
  <c r="J21" i="47"/>
  <c r="Y49" i="48"/>
  <c r="J26" i="47"/>
  <c r="Y23" i="47"/>
  <c r="Y59" i="48"/>
  <c r="J52" i="48"/>
  <c r="J28" i="47"/>
  <c r="Y58" i="48"/>
  <c r="Y55" i="48"/>
  <c r="J54" i="48"/>
  <c r="Y52" i="48"/>
  <c r="J51" i="48"/>
  <c r="J31" i="47"/>
  <c r="Y28" i="47"/>
  <c r="Y24" i="47"/>
  <c r="J22" i="47"/>
  <c r="J60" i="48"/>
  <c r="J57" i="48"/>
  <c r="Y29" i="47"/>
  <c r="J27" i="47"/>
  <c r="Y20" i="47"/>
  <c r="J58" i="48"/>
  <c r="Y26" i="47"/>
  <c r="Y53" i="48"/>
  <c r="Y50" i="48"/>
  <c r="J49" i="48"/>
  <c r="Y25" i="47"/>
  <c r="J23" i="47"/>
  <c r="J55" i="48"/>
  <c r="Y21" i="47"/>
  <c r="J24" i="47"/>
  <c r="J20" i="47"/>
  <c r="Z60" i="48"/>
  <c r="K59" i="48"/>
  <c r="Z57" i="48"/>
  <c r="K56" i="48"/>
  <c r="K53" i="48"/>
  <c r="K30" i="47"/>
  <c r="Z27" i="47"/>
  <c r="K21" i="47"/>
  <c r="Z26" i="47"/>
  <c r="K50" i="48"/>
  <c r="K29" i="47"/>
  <c r="Z22" i="47"/>
  <c r="Z49" i="48"/>
  <c r="K26" i="47"/>
  <c r="Z23" i="47"/>
  <c r="Z58" i="48"/>
  <c r="Z55" i="48"/>
  <c r="K54" i="48"/>
  <c r="Z52" i="48"/>
  <c r="K51" i="48"/>
  <c r="K31" i="47"/>
  <c r="Z28" i="47"/>
  <c r="Z24" i="47"/>
  <c r="K22" i="47"/>
  <c r="K20" i="47"/>
  <c r="K25" i="47"/>
  <c r="K60" i="48"/>
  <c r="K57" i="48"/>
  <c r="Z29" i="47"/>
  <c r="K27" i="47"/>
  <c r="Z20" i="47"/>
  <c r="Z53" i="48"/>
  <c r="Z50" i="48"/>
  <c r="K49" i="48"/>
  <c r="Z25" i="47"/>
  <c r="K23" i="47"/>
  <c r="K58" i="48"/>
  <c r="K24" i="47"/>
  <c r="Z51" i="48"/>
  <c r="Z31" i="47"/>
  <c r="Z59" i="48"/>
  <c r="Z56" i="48"/>
  <c r="K55" i="48"/>
  <c r="K52" i="48"/>
  <c r="Z30" i="47"/>
  <c r="K28" i="47"/>
  <c r="Z21" i="47"/>
  <c r="Z54" i="48"/>
  <c r="E61" i="48"/>
  <c r="T61" i="48"/>
  <c r="H17" i="19"/>
  <c r="G56" i="19"/>
  <c r="G57" i="19"/>
  <c r="K17" i="41"/>
  <c r="K16" i="41"/>
  <c r="K14" i="41"/>
  <c r="K13" i="41"/>
  <c r="K12" i="41"/>
  <c r="K11" i="41"/>
  <c r="K9" i="41"/>
  <c r="K8" i="41"/>
  <c r="K7" i="41"/>
  <c r="K6" i="41"/>
  <c r="Z17" i="41"/>
  <c r="Z16" i="41"/>
  <c r="Z15" i="41"/>
  <c r="K15" i="41"/>
  <c r="Z14" i="41"/>
  <c r="Z13" i="41"/>
  <c r="Z12" i="41"/>
  <c r="Z11" i="41"/>
  <c r="Z10" i="41"/>
  <c r="K10" i="41"/>
  <c r="Z9" i="41"/>
  <c r="Z8" i="41"/>
  <c r="Z7" i="41"/>
  <c r="Z6" i="41"/>
  <c r="Z49" i="40"/>
  <c r="Z50" i="40" s="1"/>
  <c r="Z51" i="40" s="1"/>
  <c r="Z52" i="40" s="1"/>
  <c r="Z53" i="40" s="1"/>
  <c r="Z54" i="40" s="1"/>
  <c r="Z55" i="40" s="1"/>
  <c r="Z56" i="40" s="1"/>
  <c r="Z57" i="40" s="1"/>
  <c r="Z58" i="40" s="1"/>
  <c r="Z59" i="40" s="1"/>
  <c r="Z60" i="40" s="1"/>
  <c r="K49" i="40"/>
  <c r="K50" i="40" s="1"/>
  <c r="K51" i="40" s="1"/>
  <c r="K52" i="40" s="1"/>
  <c r="K53" i="40" s="1"/>
  <c r="K54" i="40" s="1"/>
  <c r="K55" i="40" s="1"/>
  <c r="K56" i="40" s="1"/>
  <c r="K57" i="40" s="1"/>
  <c r="K58" i="40" s="1"/>
  <c r="K59" i="40" s="1"/>
  <c r="K60" i="40" s="1"/>
  <c r="K49" i="39"/>
  <c r="K50" i="39" s="1"/>
  <c r="K51" i="39" s="1"/>
  <c r="K52" i="39" s="1"/>
  <c r="K53" i="39" s="1"/>
  <c r="K54" i="39" s="1"/>
  <c r="K55" i="39" s="1"/>
  <c r="K56" i="39" s="1"/>
  <c r="K57" i="39" s="1"/>
  <c r="K58" i="39" s="1"/>
  <c r="K59" i="39" s="1"/>
  <c r="K60" i="39" s="1"/>
  <c r="Z60" i="38"/>
  <c r="Z59" i="38"/>
  <c r="Z58" i="38"/>
  <c r="K58" i="38"/>
  <c r="Z57" i="38"/>
  <c r="Z56" i="38"/>
  <c r="Z55" i="38"/>
  <c r="Z54" i="38"/>
  <c r="Z53" i="38"/>
  <c r="K53" i="38"/>
  <c r="Z52" i="38"/>
  <c r="Z51" i="38"/>
  <c r="Z50" i="38"/>
  <c r="Z49" i="38"/>
  <c r="Z49" i="39"/>
  <c r="Z50" i="39" s="1"/>
  <c r="Z51" i="39" s="1"/>
  <c r="Z52" i="39" s="1"/>
  <c r="Z53" i="39" s="1"/>
  <c r="Z54" i="39" s="1"/>
  <c r="Z55" i="39" s="1"/>
  <c r="Z56" i="39" s="1"/>
  <c r="Z57" i="39" s="1"/>
  <c r="Z58" i="39" s="1"/>
  <c r="Z59" i="39" s="1"/>
  <c r="Z60" i="39" s="1"/>
  <c r="K60" i="38"/>
  <c r="K59" i="38"/>
  <c r="K57" i="38"/>
  <c r="K56" i="38"/>
  <c r="K55" i="38"/>
  <c r="K54" i="38"/>
  <c r="K52" i="38"/>
  <c r="K51" i="38"/>
  <c r="K50" i="38"/>
  <c r="K49" i="38"/>
  <c r="Y17" i="41"/>
  <c r="Y16" i="41"/>
  <c r="Y15" i="41"/>
  <c r="J15" i="41"/>
  <c r="Y14" i="41"/>
  <c r="Y13" i="41"/>
  <c r="Y12" i="41"/>
  <c r="Y11" i="41"/>
  <c r="Y10" i="41"/>
  <c r="J10" i="41"/>
  <c r="Y9" i="41"/>
  <c r="Y8" i="41"/>
  <c r="Y7" i="41"/>
  <c r="Y6" i="41"/>
  <c r="J17" i="41"/>
  <c r="J16" i="41"/>
  <c r="J14" i="41"/>
  <c r="J13" i="41"/>
  <c r="J12" i="41"/>
  <c r="J11" i="41"/>
  <c r="J9" i="41"/>
  <c r="J8" i="41"/>
  <c r="J7" i="41"/>
  <c r="J6" i="41"/>
  <c r="J49" i="40"/>
  <c r="J50" i="40" s="1"/>
  <c r="J51" i="40" s="1"/>
  <c r="J52" i="40" s="1"/>
  <c r="J53" i="40" s="1"/>
  <c r="J54" i="40" s="1"/>
  <c r="J55" i="40" s="1"/>
  <c r="J56" i="40" s="1"/>
  <c r="J57" i="40" s="1"/>
  <c r="J58" i="40" s="1"/>
  <c r="J59" i="40" s="1"/>
  <c r="J60" i="40" s="1"/>
  <c r="Y49" i="40"/>
  <c r="Y50" i="40" s="1"/>
  <c r="Y51" i="40" s="1"/>
  <c r="Y52" i="40" s="1"/>
  <c r="Y53" i="40" s="1"/>
  <c r="Y54" i="40" s="1"/>
  <c r="Y55" i="40" s="1"/>
  <c r="Y56" i="40" s="1"/>
  <c r="Y57" i="40" s="1"/>
  <c r="Y58" i="40" s="1"/>
  <c r="Y59" i="40" s="1"/>
  <c r="Y60" i="40" s="1"/>
  <c r="Y49" i="39"/>
  <c r="Y50" i="39" s="1"/>
  <c r="Y51" i="39" s="1"/>
  <c r="Y52" i="39" s="1"/>
  <c r="Y53" i="39" s="1"/>
  <c r="Y54" i="39" s="1"/>
  <c r="Y55" i="39" s="1"/>
  <c r="Y56" i="39" s="1"/>
  <c r="Y57" i="39" s="1"/>
  <c r="Y58" i="39" s="1"/>
  <c r="Y59" i="39" s="1"/>
  <c r="Y60" i="39" s="1"/>
  <c r="J60" i="38"/>
  <c r="J59" i="38"/>
  <c r="J57" i="38"/>
  <c r="J56" i="38"/>
  <c r="J55" i="38"/>
  <c r="J54" i="38"/>
  <c r="J52" i="38"/>
  <c r="J51" i="38"/>
  <c r="J50" i="38"/>
  <c r="J49" i="38"/>
  <c r="J49" i="39"/>
  <c r="J50" i="39" s="1"/>
  <c r="J51" i="39" s="1"/>
  <c r="J52" i="39" s="1"/>
  <c r="J53" i="39" s="1"/>
  <c r="J54" i="39" s="1"/>
  <c r="J55" i="39" s="1"/>
  <c r="J56" i="39" s="1"/>
  <c r="J57" i="39" s="1"/>
  <c r="J58" i="39" s="1"/>
  <c r="J59" i="39" s="1"/>
  <c r="J60" i="39" s="1"/>
  <c r="Y60" i="38"/>
  <c r="Y59" i="38"/>
  <c r="Y58" i="38"/>
  <c r="J58" i="38"/>
  <c r="Y57" i="38"/>
  <c r="Y56" i="38"/>
  <c r="Y55" i="38"/>
  <c r="Y54" i="38"/>
  <c r="Y53" i="38"/>
  <c r="J53" i="38"/>
  <c r="Y52" i="38"/>
  <c r="Y51" i="38"/>
  <c r="Y50" i="38"/>
  <c r="Y49" i="38"/>
  <c r="G54" i="19"/>
  <c r="L17" i="19"/>
  <c r="T50" i="33"/>
  <c r="T51" i="33" s="1"/>
  <c r="T52" i="33" s="1"/>
  <c r="T53" i="33" s="1"/>
  <c r="E50" i="33"/>
  <c r="E51" i="33" s="1"/>
  <c r="E52" i="33" s="1"/>
  <c r="E53" i="33" s="1"/>
  <c r="T50" i="31"/>
  <c r="T51" i="31" s="1"/>
  <c r="T52" i="31" s="1"/>
  <c r="T53" i="31" s="1"/>
  <c r="T21" i="30"/>
  <c r="T22" i="30" s="1"/>
  <c r="T23" i="30" s="1"/>
  <c r="T24" i="30" s="1"/>
  <c r="T25" i="30" s="1"/>
  <c r="T26" i="30" s="1"/>
  <c r="T27" i="30" s="1"/>
  <c r="T28" i="30" s="1"/>
  <c r="T29" i="30" s="1"/>
  <c r="T30" i="30" s="1"/>
  <c r="T21" i="29"/>
  <c r="T22" i="29" s="1"/>
  <c r="T23" i="29" s="1"/>
  <c r="T24" i="29" s="1"/>
  <c r="T50" i="35"/>
  <c r="T51" i="35" s="1"/>
  <c r="T52" i="35" s="1"/>
  <c r="T53" i="35" s="1"/>
  <c r="T54" i="35" s="1"/>
  <c r="T55" i="35" s="1"/>
  <c r="T56" i="35" s="1"/>
  <c r="T57" i="35" s="1"/>
  <c r="T58" i="35" s="1"/>
  <c r="T59" i="35" s="1"/>
  <c r="T21" i="28"/>
  <c r="T22" i="28" s="1"/>
  <c r="T23" i="28" s="1"/>
  <c r="T24" i="28" s="1"/>
  <c r="Z49" i="36"/>
  <c r="Z50" i="36" s="1"/>
  <c r="Z51" i="36" s="1"/>
  <c r="Z52" i="36" s="1"/>
  <c r="Z53" i="36" s="1"/>
  <c r="Z54" i="36" s="1"/>
  <c r="Z55" i="36" s="1"/>
  <c r="Z56" i="36" s="1"/>
  <c r="Z57" i="36" s="1"/>
  <c r="Z58" i="36" s="1"/>
  <c r="Z59" i="36" s="1"/>
  <c r="Z60" i="36" s="1"/>
  <c r="K49" i="36"/>
  <c r="K50" i="36" s="1"/>
  <c r="K51" i="36" s="1"/>
  <c r="K52" i="36" s="1"/>
  <c r="K53" i="36" s="1"/>
  <c r="K54" i="36" s="1"/>
  <c r="K55" i="36" s="1"/>
  <c r="K56" i="36" s="1"/>
  <c r="K57" i="36" s="1"/>
  <c r="K58" i="36" s="1"/>
  <c r="K59" i="36" s="1"/>
  <c r="K60" i="36" s="1"/>
  <c r="Z49" i="35"/>
  <c r="Z50" i="35" s="1"/>
  <c r="Z51" i="35" s="1"/>
  <c r="Z52" i="35" s="1"/>
  <c r="Z53" i="35" s="1"/>
  <c r="Z54" i="35" s="1"/>
  <c r="Z55" i="35" s="1"/>
  <c r="Z56" i="35" s="1"/>
  <c r="Z57" i="35" s="1"/>
  <c r="Z58" i="35" s="1"/>
  <c r="Z59" i="35" s="1"/>
  <c r="Z60" i="35" s="1"/>
  <c r="K49" i="35"/>
  <c r="K50" i="35" s="1"/>
  <c r="K51" i="35" s="1"/>
  <c r="K52" i="35" s="1"/>
  <c r="K53" i="35" s="1"/>
  <c r="K54" i="35" s="1"/>
  <c r="K55" i="35" s="1"/>
  <c r="K56" i="35" s="1"/>
  <c r="K57" i="35" s="1"/>
  <c r="K58" i="35" s="1"/>
  <c r="K59" i="35" s="1"/>
  <c r="K60" i="35" s="1"/>
  <c r="Z49" i="34"/>
  <c r="Z50" i="34" s="1"/>
  <c r="Z51" i="34" s="1"/>
  <c r="Z52" i="34" s="1"/>
  <c r="Z53" i="34" s="1"/>
  <c r="Z54" i="34" s="1"/>
  <c r="Z55" i="34" s="1"/>
  <c r="Z56" i="34" s="1"/>
  <c r="Z57" i="34" s="1"/>
  <c r="Z58" i="34" s="1"/>
  <c r="Z59" i="34" s="1"/>
  <c r="Z60" i="34" s="1"/>
  <c r="K49" i="34"/>
  <c r="K50" i="34" s="1"/>
  <c r="K51" i="34" s="1"/>
  <c r="K52" i="34" s="1"/>
  <c r="K53" i="34" s="1"/>
  <c r="K54" i="34" s="1"/>
  <c r="K55" i="34" s="1"/>
  <c r="K56" i="34" s="1"/>
  <c r="K57" i="34" s="1"/>
  <c r="K58" i="34" s="1"/>
  <c r="K59" i="34" s="1"/>
  <c r="K60" i="34" s="1"/>
  <c r="Z60" i="32"/>
  <c r="Z59" i="32"/>
  <c r="Z58" i="32"/>
  <c r="K58" i="32"/>
  <c r="Z57" i="32"/>
  <c r="Z56" i="32"/>
  <c r="Z55" i="32"/>
  <c r="Z54" i="32"/>
  <c r="Z53" i="32"/>
  <c r="K53" i="32"/>
  <c r="Z52" i="32"/>
  <c r="Z51" i="32"/>
  <c r="Z50" i="32"/>
  <c r="Z49" i="32"/>
  <c r="K49" i="32"/>
  <c r="K60" i="31"/>
  <c r="K59" i="31"/>
  <c r="K57" i="31"/>
  <c r="K56" i="31"/>
  <c r="K55" i="31"/>
  <c r="K54" i="31"/>
  <c r="K52" i="31"/>
  <c r="K51" i="31"/>
  <c r="K50" i="31"/>
  <c r="Z31" i="28"/>
  <c r="Z30" i="28"/>
  <c r="Z29" i="28"/>
  <c r="K29" i="28"/>
  <c r="Z28" i="28"/>
  <c r="Z27" i="28"/>
  <c r="Z26" i="28"/>
  <c r="Z49" i="33"/>
  <c r="Z50" i="33" s="1"/>
  <c r="Z51" i="33" s="1"/>
  <c r="Z52" i="33" s="1"/>
  <c r="Z53" i="33" s="1"/>
  <c r="Z54" i="33" s="1"/>
  <c r="Z55" i="33" s="1"/>
  <c r="Z56" i="33" s="1"/>
  <c r="Z57" i="33" s="1"/>
  <c r="Z58" i="33" s="1"/>
  <c r="Z59" i="33" s="1"/>
  <c r="Z60" i="33" s="1"/>
  <c r="K49" i="33"/>
  <c r="K50" i="33" s="1"/>
  <c r="K51" i="33" s="1"/>
  <c r="K52" i="33" s="1"/>
  <c r="K53" i="33" s="1"/>
  <c r="K54" i="33" s="1"/>
  <c r="K55" i="33" s="1"/>
  <c r="K56" i="33" s="1"/>
  <c r="K57" i="33" s="1"/>
  <c r="K58" i="33" s="1"/>
  <c r="K59" i="33" s="1"/>
  <c r="K60" i="33" s="1"/>
  <c r="Z60" i="31"/>
  <c r="Z59" i="31"/>
  <c r="Z58" i="31"/>
  <c r="Z57" i="31"/>
  <c r="Z56" i="31"/>
  <c r="Z55" i="31"/>
  <c r="Z54" i="31"/>
  <c r="Z53" i="31"/>
  <c r="Z52" i="31"/>
  <c r="Z51" i="31"/>
  <c r="Z50" i="31"/>
  <c r="Z49" i="31"/>
  <c r="K49" i="31"/>
  <c r="Z20" i="30"/>
  <c r="Z21" i="30" s="1"/>
  <c r="Z22" i="30" s="1"/>
  <c r="Z23" i="30" s="1"/>
  <c r="Z24" i="30" s="1"/>
  <c r="Z25" i="30" s="1"/>
  <c r="Z26" i="30" s="1"/>
  <c r="Z27" i="30" s="1"/>
  <c r="Z28" i="30" s="1"/>
  <c r="Z29" i="30" s="1"/>
  <c r="Z30" i="30" s="1"/>
  <c r="Z31" i="30" s="1"/>
  <c r="K20" i="30"/>
  <c r="K21" i="30" s="1"/>
  <c r="K22" i="30" s="1"/>
  <c r="K23" i="30" s="1"/>
  <c r="K24" i="30" s="1"/>
  <c r="K25" i="30" s="1"/>
  <c r="K26" i="30" s="1"/>
  <c r="K27" i="30" s="1"/>
  <c r="K28" i="30" s="1"/>
  <c r="K29" i="30" s="1"/>
  <c r="K30" i="30" s="1"/>
  <c r="K31" i="30" s="1"/>
  <c r="Z20" i="29"/>
  <c r="Z21" i="29" s="1"/>
  <c r="Z22" i="29" s="1"/>
  <c r="Z23" i="29" s="1"/>
  <c r="Z24" i="29" s="1"/>
  <c r="Z25" i="29" s="1"/>
  <c r="Z26" i="29" s="1"/>
  <c r="Z27" i="29" s="1"/>
  <c r="Z28" i="29" s="1"/>
  <c r="Z29" i="29" s="1"/>
  <c r="Z30" i="29" s="1"/>
  <c r="Z31" i="29" s="1"/>
  <c r="K20" i="29"/>
  <c r="K21" i="29" s="1"/>
  <c r="K22" i="29" s="1"/>
  <c r="K23" i="29" s="1"/>
  <c r="K24" i="29" s="1"/>
  <c r="K25" i="29" s="1"/>
  <c r="K26" i="29" s="1"/>
  <c r="K27" i="29" s="1"/>
  <c r="K28" i="29" s="1"/>
  <c r="K29" i="29" s="1"/>
  <c r="K30" i="29" s="1"/>
  <c r="K31" i="29" s="1"/>
  <c r="K25" i="28"/>
  <c r="K23" i="28"/>
  <c r="K22" i="28"/>
  <c r="K21" i="28"/>
  <c r="K60" i="32"/>
  <c r="K59" i="32"/>
  <c r="K57" i="32"/>
  <c r="K56" i="32"/>
  <c r="K55" i="32"/>
  <c r="K54" i="32"/>
  <c r="K52" i="32"/>
  <c r="K51" i="32"/>
  <c r="K50" i="32"/>
  <c r="K58" i="31"/>
  <c r="K53" i="31"/>
  <c r="K31" i="28"/>
  <c r="K30" i="28"/>
  <c r="K28" i="28"/>
  <c r="K27" i="28"/>
  <c r="K26" i="28"/>
  <c r="Z25" i="28"/>
  <c r="Z24" i="28"/>
  <c r="K24" i="28"/>
  <c r="Z23" i="28"/>
  <c r="Z22" i="28"/>
  <c r="Z21" i="28"/>
  <c r="Z20" i="28"/>
  <c r="K20" i="28"/>
  <c r="Y49" i="33"/>
  <c r="Y50" i="33" s="1"/>
  <c r="Y51" i="33" s="1"/>
  <c r="Y52" i="33" s="1"/>
  <c r="Y53" i="33" s="1"/>
  <c r="Y54" i="33" s="1"/>
  <c r="Y55" i="33" s="1"/>
  <c r="Y56" i="33" s="1"/>
  <c r="Y57" i="33" s="1"/>
  <c r="Y58" i="33" s="1"/>
  <c r="Y59" i="33" s="1"/>
  <c r="Y60" i="33" s="1"/>
  <c r="J49" i="33"/>
  <c r="J50" i="33" s="1"/>
  <c r="J51" i="33" s="1"/>
  <c r="J52" i="33" s="1"/>
  <c r="J53" i="33" s="1"/>
  <c r="J54" i="33" s="1"/>
  <c r="J55" i="33" s="1"/>
  <c r="J56" i="33" s="1"/>
  <c r="J57" i="33" s="1"/>
  <c r="J58" i="33" s="1"/>
  <c r="J59" i="33" s="1"/>
  <c r="J60" i="33" s="1"/>
  <c r="J60" i="32"/>
  <c r="J59" i="32"/>
  <c r="J57" i="32"/>
  <c r="J56" i="32"/>
  <c r="J55" i="32"/>
  <c r="J54" i="32"/>
  <c r="J52" i="32"/>
  <c r="J51" i="32"/>
  <c r="J50" i="32"/>
  <c r="Y60" i="31"/>
  <c r="Y59" i="31"/>
  <c r="Y58" i="31"/>
  <c r="J58" i="31"/>
  <c r="Y57" i="31"/>
  <c r="Y56" i="31"/>
  <c r="Y55" i="31"/>
  <c r="Y54" i="31"/>
  <c r="Y53" i="31"/>
  <c r="J53" i="31"/>
  <c r="Y52" i="31"/>
  <c r="Y51" i="31"/>
  <c r="Y50" i="31"/>
  <c r="Y49" i="31"/>
  <c r="J49" i="31"/>
  <c r="Y20" i="30"/>
  <c r="Y21" i="30" s="1"/>
  <c r="Y22" i="30" s="1"/>
  <c r="Y23" i="30" s="1"/>
  <c r="Y24" i="30" s="1"/>
  <c r="Y25" i="30" s="1"/>
  <c r="Y26" i="30" s="1"/>
  <c r="Y27" i="30" s="1"/>
  <c r="Y28" i="30" s="1"/>
  <c r="Y29" i="30" s="1"/>
  <c r="Y30" i="30" s="1"/>
  <c r="Y31" i="30" s="1"/>
  <c r="J20" i="30"/>
  <c r="J21" i="30" s="1"/>
  <c r="J22" i="30" s="1"/>
  <c r="J23" i="30" s="1"/>
  <c r="J24" i="30" s="1"/>
  <c r="J25" i="30" s="1"/>
  <c r="J26" i="30" s="1"/>
  <c r="J27" i="30" s="1"/>
  <c r="J28" i="30" s="1"/>
  <c r="J29" i="30" s="1"/>
  <c r="J30" i="30" s="1"/>
  <c r="J31" i="30" s="1"/>
  <c r="Y20" i="29"/>
  <c r="Y21" i="29" s="1"/>
  <c r="Y22" i="29" s="1"/>
  <c r="Y23" i="29" s="1"/>
  <c r="Y24" i="29" s="1"/>
  <c r="Y25" i="29" s="1"/>
  <c r="Y26" i="29" s="1"/>
  <c r="Y27" i="29" s="1"/>
  <c r="Y28" i="29" s="1"/>
  <c r="Y29" i="29" s="1"/>
  <c r="Y30" i="29" s="1"/>
  <c r="Y31" i="29" s="1"/>
  <c r="J20" i="29"/>
  <c r="J21" i="29" s="1"/>
  <c r="J22" i="29" s="1"/>
  <c r="J23" i="29" s="1"/>
  <c r="J24" i="29" s="1"/>
  <c r="J25" i="29" s="1"/>
  <c r="J26" i="29" s="1"/>
  <c r="J27" i="29" s="1"/>
  <c r="J28" i="29" s="1"/>
  <c r="J29" i="29" s="1"/>
  <c r="J30" i="29" s="1"/>
  <c r="J31" i="29" s="1"/>
  <c r="J31" i="28"/>
  <c r="J30" i="28"/>
  <c r="J28" i="28"/>
  <c r="J27" i="28"/>
  <c r="J26" i="28"/>
  <c r="J49" i="36"/>
  <c r="J50" i="36" s="1"/>
  <c r="J51" i="36" s="1"/>
  <c r="J52" i="36" s="1"/>
  <c r="J53" i="36" s="1"/>
  <c r="J54" i="36" s="1"/>
  <c r="J55" i="36" s="1"/>
  <c r="J56" i="36" s="1"/>
  <c r="J57" i="36" s="1"/>
  <c r="J58" i="36" s="1"/>
  <c r="J59" i="36" s="1"/>
  <c r="J60" i="36" s="1"/>
  <c r="Y49" i="35"/>
  <c r="Y50" i="35" s="1"/>
  <c r="Y51" i="35" s="1"/>
  <c r="Y52" i="35" s="1"/>
  <c r="Y53" i="35" s="1"/>
  <c r="Y54" i="35" s="1"/>
  <c r="Y55" i="35" s="1"/>
  <c r="Y56" i="35" s="1"/>
  <c r="Y57" i="35" s="1"/>
  <c r="Y58" i="35" s="1"/>
  <c r="Y59" i="35" s="1"/>
  <c r="Y60" i="35" s="1"/>
  <c r="J49" i="34"/>
  <c r="J50" i="34" s="1"/>
  <c r="J51" i="34" s="1"/>
  <c r="J52" i="34" s="1"/>
  <c r="J53" i="34" s="1"/>
  <c r="J54" i="34" s="1"/>
  <c r="J55" i="34" s="1"/>
  <c r="J56" i="34" s="1"/>
  <c r="J57" i="34" s="1"/>
  <c r="J58" i="34" s="1"/>
  <c r="J59" i="34" s="1"/>
  <c r="J60" i="34" s="1"/>
  <c r="J58" i="32"/>
  <c r="J53" i="32"/>
  <c r="J49" i="32"/>
  <c r="J60" i="31"/>
  <c r="J59" i="31"/>
  <c r="J57" i="31"/>
  <c r="J56" i="31"/>
  <c r="J55" i="31"/>
  <c r="J54" i="31"/>
  <c r="J52" i="31"/>
  <c r="J51" i="31"/>
  <c r="J50" i="31"/>
  <c r="J29" i="28"/>
  <c r="Y25" i="28"/>
  <c r="Y24" i="28"/>
  <c r="J24" i="28"/>
  <c r="Y23" i="28"/>
  <c r="Y22" i="28"/>
  <c r="Y21" i="28"/>
  <c r="Y20" i="28"/>
  <c r="J20" i="28"/>
  <c r="Y49" i="36"/>
  <c r="Y50" i="36" s="1"/>
  <c r="Y51" i="36" s="1"/>
  <c r="Y52" i="36" s="1"/>
  <c r="Y53" i="36" s="1"/>
  <c r="Y54" i="36" s="1"/>
  <c r="Y55" i="36" s="1"/>
  <c r="Y56" i="36" s="1"/>
  <c r="Y57" i="36" s="1"/>
  <c r="Y58" i="36" s="1"/>
  <c r="Y59" i="36" s="1"/>
  <c r="Y60" i="36" s="1"/>
  <c r="J49" i="35"/>
  <c r="J50" i="35" s="1"/>
  <c r="J51" i="35" s="1"/>
  <c r="J52" i="35" s="1"/>
  <c r="J53" i="35" s="1"/>
  <c r="J54" i="35" s="1"/>
  <c r="J55" i="35" s="1"/>
  <c r="J56" i="35" s="1"/>
  <c r="J57" i="35" s="1"/>
  <c r="J58" i="35" s="1"/>
  <c r="J59" i="35" s="1"/>
  <c r="J60" i="35" s="1"/>
  <c r="Y49" i="34"/>
  <c r="Y50" i="34" s="1"/>
  <c r="Y51" i="34" s="1"/>
  <c r="Y52" i="34" s="1"/>
  <c r="Y53" i="34" s="1"/>
  <c r="Y54" i="34" s="1"/>
  <c r="Y55" i="34" s="1"/>
  <c r="Y56" i="34" s="1"/>
  <c r="Y57" i="34" s="1"/>
  <c r="Y58" i="34" s="1"/>
  <c r="Y59" i="34" s="1"/>
  <c r="Y60" i="34" s="1"/>
  <c r="Y60" i="32"/>
  <c r="Y59" i="32"/>
  <c r="Y58" i="32"/>
  <c r="Y57" i="32"/>
  <c r="Y56" i="32"/>
  <c r="Y55" i="32"/>
  <c r="Y54" i="32"/>
  <c r="Y53" i="32"/>
  <c r="Y52" i="32"/>
  <c r="Y51" i="32"/>
  <c r="Y50" i="32"/>
  <c r="Y49" i="32"/>
  <c r="Y31" i="28"/>
  <c r="Y30" i="28"/>
  <c r="Y29" i="28"/>
  <c r="Y28" i="28"/>
  <c r="Y27" i="28"/>
  <c r="Y26" i="28"/>
  <c r="J25" i="28"/>
  <c r="J23" i="28"/>
  <c r="J22" i="28"/>
  <c r="J21" i="28"/>
  <c r="K19" i="19"/>
  <c r="K20" i="19" s="1"/>
  <c r="K54" i="19"/>
  <c r="H19" i="19"/>
  <c r="G55" i="19"/>
  <c r="G21" i="19"/>
  <c r="H21" i="19" s="1"/>
  <c r="H18" i="19"/>
  <c r="T6" i="4"/>
  <c r="T6" i="5"/>
  <c r="Z6" i="5"/>
  <c r="Z7" i="5" s="1"/>
  <c r="Z8" i="5" s="1"/>
  <c r="Z9" i="5" s="1"/>
  <c r="Z10" i="5" s="1"/>
  <c r="Z11" i="5" s="1"/>
  <c r="Z12" i="5" s="1"/>
  <c r="Z13" i="5" s="1"/>
  <c r="Z14" i="5" s="1"/>
  <c r="Z15" i="5" s="1"/>
  <c r="Z16" i="5" s="1"/>
  <c r="Z17" i="5" s="1"/>
  <c r="Z6" i="4"/>
  <c r="Z7" i="4" s="1"/>
  <c r="Z8" i="4" s="1"/>
  <c r="Z9" i="4" s="1"/>
  <c r="Z10" i="4" s="1"/>
  <c r="Z11" i="4" s="1"/>
  <c r="Z12" i="4" s="1"/>
  <c r="Z13" i="4" s="1"/>
  <c r="Z14" i="4" s="1"/>
  <c r="Z15" i="4" s="1"/>
  <c r="Z16" i="4" s="1"/>
  <c r="Z17" i="4" s="1"/>
  <c r="Y6" i="5"/>
  <c r="Y6" i="4"/>
  <c r="L30" i="19"/>
  <c r="H30" i="19"/>
  <c r="H29" i="19"/>
  <c r="L20" i="6"/>
  <c r="N20" i="6"/>
  <c r="L22" i="6"/>
  <c r="N22" i="6"/>
  <c r="N23" i="6"/>
  <c r="L23" i="6"/>
  <c r="N17" i="6"/>
  <c r="L17" i="6"/>
  <c r="L16" i="6"/>
  <c r="N16" i="6"/>
  <c r="L18" i="6"/>
  <c r="N18" i="6"/>
  <c r="N21" i="6"/>
  <c r="L21" i="6"/>
  <c r="L19" i="6"/>
  <c r="N19" i="6"/>
  <c r="L36" i="19"/>
  <c r="L32" i="19"/>
  <c r="L34" i="19"/>
  <c r="H34" i="19"/>
  <c r="L29" i="19"/>
  <c r="H36" i="19"/>
  <c r="H32" i="19"/>
  <c r="J37" i="19"/>
  <c r="I19" i="19"/>
  <c r="I55" i="19"/>
  <c r="J18" i="19"/>
  <c r="C23" i="13"/>
  <c r="T25" i="29" l="1"/>
  <c r="T26" i="29" s="1"/>
  <c r="T27" i="29" s="1"/>
  <c r="T28" i="29" s="1"/>
  <c r="T29" i="29" s="1"/>
  <c r="T54" i="31"/>
  <c r="T55" i="31" s="1"/>
  <c r="T56" i="31" s="1"/>
  <c r="T57" i="31" s="1"/>
  <c r="T58" i="31" s="1"/>
  <c r="T54" i="33"/>
  <c r="T55" i="33" s="1"/>
  <c r="T56" i="33" s="1"/>
  <c r="T57" i="33" s="1"/>
  <c r="T58" i="33" s="1"/>
  <c r="T25" i="28"/>
  <c r="T26" i="28" s="1"/>
  <c r="T27" i="28" s="1"/>
  <c r="T28" i="28" s="1"/>
  <c r="T29" i="28" s="1"/>
  <c r="K21" i="52"/>
  <c r="Z21" i="52"/>
  <c r="L19" i="19"/>
  <c r="G58" i="19"/>
  <c r="K56" i="19"/>
  <c r="G22" i="19"/>
  <c r="H22" i="19" s="1"/>
  <c r="Z21" i="50"/>
  <c r="K21" i="50"/>
  <c r="E54" i="33"/>
  <c r="E55" i="33" s="1"/>
  <c r="E56" i="33" s="1"/>
  <c r="E57" i="33" s="1"/>
  <c r="E58" i="33" s="1"/>
  <c r="T50" i="32"/>
  <c r="E50" i="35"/>
  <c r="E51" i="35" s="1"/>
  <c r="E52" i="35" s="1"/>
  <c r="E53" i="35" s="1"/>
  <c r="E21" i="28"/>
  <c r="E22" i="28" s="1"/>
  <c r="E23" i="28" s="1"/>
  <c r="E24" i="28" s="1"/>
  <c r="E50" i="32"/>
  <c r="E21" i="29"/>
  <c r="E22" i="29" s="1"/>
  <c r="E23" i="29" s="1"/>
  <c r="E24" i="29" s="1"/>
  <c r="E25" i="29" s="1"/>
  <c r="E26" i="29" s="1"/>
  <c r="E27" i="29" s="1"/>
  <c r="E28" i="29" s="1"/>
  <c r="E29" i="29" s="1"/>
  <c r="E30" i="29" s="1"/>
  <c r="E31" i="29" s="1"/>
  <c r="E21" i="30"/>
  <c r="E22" i="30" s="1"/>
  <c r="E23" i="30" s="1"/>
  <c r="E24" i="30" s="1"/>
  <c r="E50" i="31"/>
  <c r="E51" i="31" s="1"/>
  <c r="E52" i="31" s="1"/>
  <c r="E53" i="31" s="1"/>
  <c r="E54" i="31" s="1"/>
  <c r="E55" i="31" s="1"/>
  <c r="E56" i="31" s="1"/>
  <c r="E57" i="31" s="1"/>
  <c r="E58" i="31" s="1"/>
  <c r="E59" i="31" s="1"/>
  <c r="E60" i="31" s="1"/>
  <c r="T50" i="34"/>
  <c r="T50" i="36"/>
  <c r="E50" i="34"/>
  <c r="E50" i="36"/>
  <c r="T60" i="35"/>
  <c r="T31" i="30"/>
  <c r="Y7" i="5"/>
  <c r="Y7" i="4"/>
  <c r="T7" i="5"/>
  <c r="T7" i="4"/>
  <c r="L37" i="19"/>
  <c r="H37" i="19"/>
  <c r="I56" i="19"/>
  <c r="J19" i="19"/>
  <c r="I20" i="19"/>
  <c r="K57" i="19"/>
  <c r="L20" i="19"/>
  <c r="K21" i="19"/>
  <c r="G58" i="11"/>
  <c r="G60" i="11"/>
  <c r="G61" i="11"/>
  <c r="G54" i="11"/>
  <c r="G57" i="11"/>
  <c r="G55" i="11"/>
  <c r="F62" i="11"/>
  <c r="G59" i="11"/>
  <c r="G56" i="11"/>
  <c r="T59" i="33" l="1"/>
  <c r="T60" i="33" s="1"/>
  <c r="T59" i="31"/>
  <c r="T60" i="31" s="1"/>
  <c r="T30" i="29"/>
  <c r="T31" i="29" s="1"/>
  <c r="T30" i="28"/>
  <c r="T31" i="28" s="1"/>
  <c r="Z22" i="52"/>
  <c r="E25" i="30"/>
  <c r="E26" i="30" s="1"/>
  <c r="E27" i="30" s="1"/>
  <c r="E28" i="30" s="1"/>
  <c r="E29" i="30" s="1"/>
  <c r="K22" i="52"/>
  <c r="E54" i="35"/>
  <c r="E55" i="35" s="1"/>
  <c r="E56" i="35" s="1"/>
  <c r="E57" i="35" s="1"/>
  <c r="E58" i="35" s="1"/>
  <c r="G59" i="19"/>
  <c r="G23" i="19"/>
  <c r="H23" i="19" s="1"/>
  <c r="K22" i="50"/>
  <c r="Z22" i="50"/>
  <c r="E59" i="33"/>
  <c r="E60" i="33" s="1"/>
  <c r="E25" i="28"/>
  <c r="E26" i="28" s="1"/>
  <c r="E27" i="28" s="1"/>
  <c r="E28" i="28" s="1"/>
  <c r="E29" i="28" s="1"/>
  <c r="E51" i="34"/>
  <c r="T51" i="36"/>
  <c r="T51" i="34"/>
  <c r="E51" i="36"/>
  <c r="E61" i="31"/>
  <c r="E32" i="29"/>
  <c r="E51" i="32"/>
  <c r="T51" i="32"/>
  <c r="T61" i="35"/>
  <c r="T32" i="30"/>
  <c r="T8" i="4"/>
  <c r="Y8" i="4"/>
  <c r="Y8" i="5"/>
  <c r="T8" i="5"/>
  <c r="I21" i="19"/>
  <c r="I57" i="19"/>
  <c r="J20" i="19"/>
  <c r="K22" i="19"/>
  <c r="K58" i="19"/>
  <c r="L21" i="19"/>
  <c r="G62" i="11"/>
  <c r="H62" i="11" s="1"/>
  <c r="E23" i="14"/>
  <c r="C28" i="13"/>
  <c r="C27" i="13"/>
  <c r="C26" i="13"/>
  <c r="D26" i="13" s="1"/>
  <c r="C25" i="13"/>
  <c r="C24" i="13"/>
  <c r="G13" i="13"/>
  <c r="F13" i="13"/>
  <c r="E13" i="13"/>
  <c r="D13" i="13"/>
  <c r="C13" i="13"/>
  <c r="I11" i="13"/>
  <c r="I10" i="13"/>
  <c r="I9" i="13"/>
  <c r="I8" i="13"/>
  <c r="I7" i="13"/>
  <c r="I6" i="13"/>
  <c r="T61" i="33" l="1"/>
  <c r="T61" i="31"/>
  <c r="T32" i="28"/>
  <c r="T32" i="29"/>
  <c r="G60" i="19"/>
  <c r="K23" i="52"/>
  <c r="E30" i="30"/>
  <c r="Z23" i="52"/>
  <c r="E59" i="35"/>
  <c r="Z23" i="50"/>
  <c r="E61" i="33"/>
  <c r="K23" i="50"/>
  <c r="E30" i="28"/>
  <c r="D25" i="13"/>
  <c r="E52" i="32"/>
  <c r="T52" i="34"/>
  <c r="T52" i="36"/>
  <c r="T52" i="32"/>
  <c r="E52" i="36"/>
  <c r="E52" i="34"/>
  <c r="Y9" i="5"/>
  <c r="T9" i="4"/>
  <c r="T9" i="5"/>
  <c r="Y9" i="4"/>
  <c r="I58" i="19"/>
  <c r="J21" i="19"/>
  <c r="I22" i="19"/>
  <c r="K59" i="19"/>
  <c r="L22" i="19"/>
  <c r="K23" i="19"/>
  <c r="D23" i="13"/>
  <c r="D24" i="13"/>
  <c r="D27" i="13"/>
  <c r="D28" i="13"/>
  <c r="I13" i="13"/>
  <c r="I44" i="8"/>
  <c r="J44" i="8"/>
  <c r="K44" i="8"/>
  <c r="L44" i="8"/>
  <c r="M44" i="8"/>
  <c r="N44" i="8"/>
  <c r="O44" i="8"/>
  <c r="P44" i="8"/>
  <c r="Q44" i="8"/>
  <c r="R44" i="8"/>
  <c r="S44" i="8"/>
  <c r="T44" i="8"/>
  <c r="U44" i="8"/>
  <c r="V44" i="8"/>
  <c r="W44" i="8"/>
  <c r="X44" i="8"/>
  <c r="H44" i="8"/>
  <c r="S47" i="8"/>
  <c r="S48" i="8"/>
  <c r="S49" i="8"/>
  <c r="S50" i="8"/>
  <c r="S51" i="8"/>
  <c r="S52" i="8"/>
  <c r="S53" i="8"/>
  <c r="S46" i="8"/>
  <c r="S45" i="8"/>
  <c r="V45" i="8"/>
  <c r="N45" i="8"/>
  <c r="Q47" i="8"/>
  <c r="Q48" i="8"/>
  <c r="Q49" i="8"/>
  <c r="Q50" i="8"/>
  <c r="Q51" i="8"/>
  <c r="Q52" i="8"/>
  <c r="Q53" i="8"/>
  <c r="Q46" i="8"/>
  <c r="Q45" i="8"/>
  <c r="N46" i="8"/>
  <c r="K47" i="8"/>
  <c r="K48" i="8"/>
  <c r="K49" i="8"/>
  <c r="K50" i="8"/>
  <c r="K51" i="8"/>
  <c r="K52" i="8"/>
  <c r="K53" i="8"/>
  <c r="K46" i="8"/>
  <c r="X53" i="8"/>
  <c r="W53" i="8"/>
  <c r="V53" i="8"/>
  <c r="U53" i="8"/>
  <c r="T53" i="8"/>
  <c r="P53" i="8"/>
  <c r="N53" i="8"/>
  <c r="M53" i="8"/>
  <c r="J53" i="8"/>
  <c r="I53" i="8"/>
  <c r="H53" i="8"/>
  <c r="X52" i="8"/>
  <c r="W52" i="8"/>
  <c r="V52" i="8"/>
  <c r="U52" i="8"/>
  <c r="T52" i="8"/>
  <c r="P52" i="8"/>
  <c r="N52" i="8"/>
  <c r="M52" i="8"/>
  <c r="J52" i="8"/>
  <c r="I52" i="8"/>
  <c r="H52" i="8"/>
  <c r="X51" i="8"/>
  <c r="W51" i="8"/>
  <c r="V51" i="8"/>
  <c r="U51" i="8"/>
  <c r="T51" i="8"/>
  <c r="P51" i="8"/>
  <c r="N51" i="8"/>
  <c r="M51" i="8"/>
  <c r="J51" i="8"/>
  <c r="I51" i="8"/>
  <c r="H51" i="8"/>
  <c r="X50" i="8"/>
  <c r="W50" i="8"/>
  <c r="V50" i="8"/>
  <c r="U50" i="8"/>
  <c r="T50" i="8"/>
  <c r="P50" i="8"/>
  <c r="N50" i="8"/>
  <c r="M50" i="8"/>
  <c r="J50" i="8"/>
  <c r="I50" i="8"/>
  <c r="H50" i="8"/>
  <c r="X49" i="8"/>
  <c r="W49" i="8"/>
  <c r="V49" i="8"/>
  <c r="U49" i="8"/>
  <c r="T49" i="8"/>
  <c r="P49" i="8"/>
  <c r="N49" i="8"/>
  <c r="M49" i="8"/>
  <c r="J49" i="8"/>
  <c r="I49" i="8"/>
  <c r="H49" i="8"/>
  <c r="X48" i="8"/>
  <c r="W48" i="8"/>
  <c r="V48" i="8"/>
  <c r="U48" i="8"/>
  <c r="T48" i="8"/>
  <c r="P48" i="8"/>
  <c r="N48" i="8"/>
  <c r="M48" i="8"/>
  <c r="J48" i="8"/>
  <c r="I48" i="8"/>
  <c r="H48" i="8"/>
  <c r="X47" i="8"/>
  <c r="W47" i="8"/>
  <c r="V47" i="8"/>
  <c r="U47" i="8"/>
  <c r="T47" i="8"/>
  <c r="P47" i="8"/>
  <c r="N47" i="8"/>
  <c r="M47" i="8"/>
  <c r="J47" i="8"/>
  <c r="I47" i="8"/>
  <c r="H47" i="8"/>
  <c r="M46" i="8"/>
  <c r="J46" i="8"/>
  <c r="I46" i="8"/>
  <c r="X46" i="8"/>
  <c r="W46" i="8"/>
  <c r="V46" i="8"/>
  <c r="U46" i="8"/>
  <c r="T46" i="8"/>
  <c r="P46" i="8"/>
  <c r="W45" i="8"/>
  <c r="U45" i="8"/>
  <c r="T45" i="8"/>
  <c r="P45" i="8"/>
  <c r="M45" i="8"/>
  <c r="K45" i="8"/>
  <c r="K59" i="8" s="1"/>
  <c r="J45" i="8"/>
  <c r="J59" i="8" s="1"/>
  <c r="I45" i="8"/>
  <c r="I59" i="8" s="1"/>
  <c r="E31" i="7"/>
  <c r="E33" i="7"/>
  <c r="F78" i="11"/>
  <c r="F9" i="11"/>
  <c r="G74" i="11"/>
  <c r="G75" i="11"/>
  <c r="G76" i="11"/>
  <c r="G77" i="11"/>
  <c r="G73" i="11"/>
  <c r="G72" i="11"/>
  <c r="G8" i="11"/>
  <c r="G7" i="11"/>
  <c r="G6" i="11"/>
  <c r="G5" i="11"/>
  <c r="Z24" i="52" l="1"/>
  <c r="E31" i="30"/>
  <c r="E32" i="30" s="1"/>
  <c r="K24" i="52"/>
  <c r="E60" i="35"/>
  <c r="E61" i="35" s="1"/>
  <c r="K24" i="50"/>
  <c r="Z24" i="50"/>
  <c r="E31" i="28"/>
  <c r="E32" i="28" s="1"/>
  <c r="E53" i="36"/>
  <c r="T53" i="32"/>
  <c r="T53" i="34"/>
  <c r="E53" i="34"/>
  <c r="T53" i="36"/>
  <c r="E53" i="32"/>
  <c r="Y10" i="4"/>
  <c r="T10" i="5"/>
  <c r="T10" i="4"/>
  <c r="Y10" i="5"/>
  <c r="F86" i="6"/>
  <c r="F59" i="19"/>
  <c r="L59" i="19" s="1"/>
  <c r="F82" i="6"/>
  <c r="F55" i="19"/>
  <c r="F96" i="6"/>
  <c r="F68" i="19"/>
  <c r="F85" i="6"/>
  <c r="F58" i="19"/>
  <c r="J58" i="19" s="1"/>
  <c r="F87" i="6"/>
  <c r="F60" i="19"/>
  <c r="F99" i="6"/>
  <c r="F71" i="19"/>
  <c r="F101" i="6"/>
  <c r="F73" i="19"/>
  <c r="F94" i="6"/>
  <c r="F66" i="19"/>
  <c r="F80" i="6"/>
  <c r="F53" i="19"/>
  <c r="F84" i="6"/>
  <c r="F57" i="19"/>
  <c r="F98" i="6"/>
  <c r="F70" i="19"/>
  <c r="F81" i="6"/>
  <c r="F54" i="19"/>
  <c r="F83" i="6"/>
  <c r="F56" i="19"/>
  <c r="F95" i="6"/>
  <c r="F67" i="19"/>
  <c r="F97" i="6"/>
  <c r="F69" i="19"/>
  <c r="F100" i="6"/>
  <c r="F72" i="19"/>
  <c r="K60" i="19"/>
  <c r="L23" i="19"/>
  <c r="I23" i="19"/>
  <c r="I59" i="19"/>
  <c r="J22" i="19"/>
  <c r="G9" i="11"/>
  <c r="G78" i="11"/>
  <c r="F47" i="6"/>
  <c r="F46" i="6"/>
  <c r="F45" i="6"/>
  <c r="F44" i="6"/>
  <c r="F43" i="6"/>
  <c r="F42" i="6"/>
  <c r="F41" i="6"/>
  <c r="F40" i="6"/>
  <c r="F61" i="6"/>
  <c r="F60" i="6"/>
  <c r="F59" i="6"/>
  <c r="F58" i="6"/>
  <c r="F57" i="6"/>
  <c r="F56" i="6"/>
  <c r="F55" i="6"/>
  <c r="F54" i="6"/>
  <c r="K40" i="6"/>
  <c r="K41" i="6" s="1"/>
  <c r="K42" i="6" s="1"/>
  <c r="K43" i="6" s="1"/>
  <c r="K44" i="6" s="1"/>
  <c r="K45" i="6" s="1"/>
  <c r="K46" i="6" s="1"/>
  <c r="K47" i="6" s="1"/>
  <c r="I40" i="6"/>
  <c r="I41" i="6" s="1"/>
  <c r="I42" i="6" s="1"/>
  <c r="I43" i="6" s="1"/>
  <c r="I44" i="6" s="1"/>
  <c r="I45" i="6" s="1"/>
  <c r="I46" i="6" s="1"/>
  <c r="I47" i="6" s="1"/>
  <c r="G40" i="6"/>
  <c r="G41" i="6" s="1"/>
  <c r="G42" i="6" s="1"/>
  <c r="G43" i="6" s="1"/>
  <c r="G44" i="6" s="1"/>
  <c r="G45" i="6" s="1"/>
  <c r="G46" i="6" s="1"/>
  <c r="G47" i="6" s="1"/>
  <c r="B1" i="5"/>
  <c r="B1" i="4"/>
  <c r="G6" i="5"/>
  <c r="G7" i="5"/>
  <c r="G15" i="5"/>
  <c r="G17" i="5"/>
  <c r="G16" i="5"/>
  <c r="G10" i="5"/>
  <c r="G17" i="4"/>
  <c r="G16" i="4"/>
  <c r="G15" i="4"/>
  <c r="K6" i="5"/>
  <c r="K7" i="5" s="1"/>
  <c r="K8" i="5" s="1"/>
  <c r="K9" i="5" s="1"/>
  <c r="K10" i="5" s="1"/>
  <c r="K11" i="5" s="1"/>
  <c r="K12" i="5" s="1"/>
  <c r="K13" i="5" s="1"/>
  <c r="K14" i="5" s="1"/>
  <c r="K15" i="5" s="1"/>
  <c r="K16" i="5" s="1"/>
  <c r="K17" i="5" s="1"/>
  <c r="J6" i="5"/>
  <c r="J7" i="5" s="1"/>
  <c r="J8" i="5" s="1"/>
  <c r="J9" i="5" s="1"/>
  <c r="J10" i="5" s="1"/>
  <c r="J11" i="5" s="1"/>
  <c r="J12" i="5" s="1"/>
  <c r="J13" i="5" s="1"/>
  <c r="J14" i="5" s="1"/>
  <c r="J15" i="5" s="1"/>
  <c r="J16" i="5" s="1"/>
  <c r="J17" i="5" s="1"/>
  <c r="E6" i="5"/>
  <c r="K6" i="4"/>
  <c r="K7" i="4" s="1"/>
  <c r="K8" i="4" s="1"/>
  <c r="K9" i="4" s="1"/>
  <c r="K10" i="4" s="1"/>
  <c r="K11" i="4" s="1"/>
  <c r="K12" i="4" s="1"/>
  <c r="K13" i="4" s="1"/>
  <c r="K14" i="4" s="1"/>
  <c r="K15" i="4" s="1"/>
  <c r="K16" i="4" s="1"/>
  <c r="K17" i="4" s="1"/>
  <c r="J6" i="4"/>
  <c r="J7" i="4" s="1"/>
  <c r="J8" i="4" s="1"/>
  <c r="J9" i="4" s="1"/>
  <c r="J10" i="4" s="1"/>
  <c r="J11" i="4" s="1"/>
  <c r="J12" i="4" s="1"/>
  <c r="J13" i="4" s="1"/>
  <c r="J14" i="4" s="1"/>
  <c r="J15" i="4" s="1"/>
  <c r="J16" i="4" s="1"/>
  <c r="J17" i="4" s="1"/>
  <c r="E6" i="4"/>
  <c r="E7" i="4" s="1"/>
  <c r="E8" i="4" s="1"/>
  <c r="G8" i="4"/>
  <c r="K25" i="52" l="1"/>
  <c r="Z25" i="52"/>
  <c r="Z25" i="50"/>
  <c r="K25" i="50"/>
  <c r="E54" i="32"/>
  <c r="T54" i="36"/>
  <c r="E54" i="34"/>
  <c r="T54" i="34"/>
  <c r="T54" i="32"/>
  <c r="E54" i="36"/>
  <c r="H78" i="11"/>
  <c r="D71" i="14" s="1"/>
  <c r="F35" i="6" s="1"/>
  <c r="H9" i="11"/>
  <c r="L60" i="19"/>
  <c r="T11" i="5"/>
  <c r="Y11" i="5"/>
  <c r="T11" i="4"/>
  <c r="Y11" i="4"/>
  <c r="J59" i="19"/>
  <c r="F15" i="19"/>
  <c r="O15" i="19" s="1"/>
  <c r="J69" i="19"/>
  <c r="H69" i="19"/>
  <c r="L69" i="19"/>
  <c r="O56" i="19"/>
  <c r="H56" i="19"/>
  <c r="L56" i="19"/>
  <c r="J56" i="19"/>
  <c r="L70" i="19"/>
  <c r="J70" i="19"/>
  <c r="H70" i="19"/>
  <c r="H53" i="19"/>
  <c r="L53" i="19"/>
  <c r="O53" i="19"/>
  <c r="J53" i="19"/>
  <c r="L71" i="19"/>
  <c r="H71" i="19"/>
  <c r="J71" i="19"/>
  <c r="O58" i="19"/>
  <c r="H58" i="19"/>
  <c r="L58" i="19"/>
  <c r="O55" i="19"/>
  <c r="L55" i="19"/>
  <c r="H55" i="19"/>
  <c r="J55" i="19"/>
  <c r="L72" i="19"/>
  <c r="J72" i="19"/>
  <c r="H72" i="19"/>
  <c r="L67" i="19"/>
  <c r="H67" i="19"/>
  <c r="J67" i="19"/>
  <c r="O54" i="19"/>
  <c r="H54" i="19"/>
  <c r="J54" i="19"/>
  <c r="L54" i="19"/>
  <c r="H57" i="19"/>
  <c r="O57" i="19"/>
  <c r="L57" i="19"/>
  <c r="J57" i="19"/>
  <c r="J66" i="19"/>
  <c r="L66" i="19"/>
  <c r="H66" i="19"/>
  <c r="J73" i="19"/>
  <c r="H73" i="19"/>
  <c r="L73" i="19"/>
  <c r="O60" i="19"/>
  <c r="H60" i="19"/>
  <c r="J68" i="19"/>
  <c r="H68" i="19"/>
  <c r="L68" i="19"/>
  <c r="O59" i="19"/>
  <c r="H59" i="19"/>
  <c r="I60" i="19"/>
  <c r="J60" i="19" s="1"/>
  <c r="J23" i="19"/>
  <c r="D20" i="6"/>
  <c r="D17" i="6"/>
  <c r="D21" i="6"/>
  <c r="D16" i="6"/>
  <c r="D18" i="6"/>
  <c r="D22" i="6"/>
  <c r="D19" i="6"/>
  <c r="D23" i="6"/>
  <c r="S5" i="9"/>
  <c r="S6" i="9"/>
  <c r="S7" i="9"/>
  <c r="S8" i="9"/>
  <c r="S9" i="9"/>
  <c r="S10" i="9"/>
  <c r="S11" i="9"/>
  <c r="S12" i="9"/>
  <c r="S13" i="9"/>
  <c r="S4" i="9"/>
  <c r="D17" i="9"/>
  <c r="E17" i="9"/>
  <c r="F17" i="9"/>
  <c r="G17" i="9"/>
  <c r="H17" i="9"/>
  <c r="I17" i="9"/>
  <c r="J17" i="9"/>
  <c r="K17" i="9"/>
  <c r="L17" i="9"/>
  <c r="M17" i="9"/>
  <c r="N17" i="9"/>
  <c r="O17" i="9"/>
  <c r="P17" i="9"/>
  <c r="Q17" i="9"/>
  <c r="C17" i="9"/>
  <c r="I87" i="6"/>
  <c r="I85" i="6"/>
  <c r="I83" i="6"/>
  <c r="I81" i="6"/>
  <c r="K55" i="6"/>
  <c r="K56" i="6"/>
  <c r="K57" i="6"/>
  <c r="K58" i="6"/>
  <c r="K59" i="6"/>
  <c r="K60" i="6"/>
  <c r="K61" i="6"/>
  <c r="K54" i="6"/>
  <c r="I55" i="6"/>
  <c r="I56" i="6"/>
  <c r="I57" i="6"/>
  <c r="I58" i="6"/>
  <c r="I59" i="6"/>
  <c r="I60" i="6"/>
  <c r="I61" i="6"/>
  <c r="I54" i="6"/>
  <c r="G55" i="6"/>
  <c r="G56" i="6"/>
  <c r="G57" i="6"/>
  <c r="G58" i="6"/>
  <c r="G59" i="6"/>
  <c r="G60" i="6"/>
  <c r="G61" i="6"/>
  <c r="G54" i="6"/>
  <c r="E38" i="7"/>
  <c r="D38" i="7"/>
  <c r="Z26" i="52" l="1"/>
  <c r="F34" i="6"/>
  <c r="F36" i="6"/>
  <c r="K26" i="52"/>
  <c r="F32" i="6"/>
  <c r="D70" i="16"/>
  <c r="D72" i="16"/>
  <c r="D68" i="16"/>
  <c r="F31" i="6"/>
  <c r="K26" i="50"/>
  <c r="Z26" i="50"/>
  <c r="F14" i="19"/>
  <c r="O14" i="19" s="1"/>
  <c r="D69" i="16"/>
  <c r="D73" i="16"/>
  <c r="D66" i="16"/>
  <c r="D67" i="16"/>
  <c r="F10" i="19"/>
  <c r="O10" i="19" s="1"/>
  <c r="F38" i="6"/>
  <c r="F33" i="6"/>
  <c r="D71" i="16"/>
  <c r="F9" i="19"/>
  <c r="O9" i="19" s="1"/>
  <c r="E55" i="36"/>
  <c r="T55" i="32"/>
  <c r="E55" i="34"/>
  <c r="T55" i="36"/>
  <c r="E55" i="32"/>
  <c r="T55" i="34"/>
  <c r="D70" i="14"/>
  <c r="C55" i="16" s="1"/>
  <c r="F7" i="19"/>
  <c r="O7" i="19" s="1"/>
  <c r="F8" i="19"/>
  <c r="O8" i="19" s="1"/>
  <c r="F12" i="19"/>
  <c r="O12" i="19" s="1"/>
  <c r="F30" i="6"/>
  <c r="F11" i="19"/>
  <c r="O11" i="19" s="1"/>
  <c r="F13" i="19"/>
  <c r="O13" i="19" s="1"/>
  <c r="F37" i="6"/>
  <c r="T12" i="5"/>
  <c r="Y12" i="4"/>
  <c r="T12" i="4"/>
  <c r="Y12" i="5"/>
  <c r="F73" i="6"/>
  <c r="F47" i="19"/>
  <c r="O47" i="19" s="1"/>
  <c r="F78" i="6"/>
  <c r="F52" i="19"/>
  <c r="O52" i="19" s="1"/>
  <c r="F77" i="6"/>
  <c r="F51" i="19"/>
  <c r="O51" i="19" s="1"/>
  <c r="F72" i="6"/>
  <c r="F46" i="19"/>
  <c r="O46" i="19" s="1"/>
  <c r="H74" i="19"/>
  <c r="L74" i="19"/>
  <c r="F75" i="6"/>
  <c r="F49" i="19"/>
  <c r="O49" i="19" s="1"/>
  <c r="F71" i="6"/>
  <c r="F45" i="19"/>
  <c r="O45" i="19" s="1"/>
  <c r="F74" i="6"/>
  <c r="F48" i="19"/>
  <c r="O48" i="19" s="1"/>
  <c r="F76" i="6"/>
  <c r="F50" i="19"/>
  <c r="O50" i="19" s="1"/>
  <c r="J74" i="19"/>
  <c r="E13" i="6"/>
  <c r="G38" i="7"/>
  <c r="G87" i="6"/>
  <c r="G83" i="6"/>
  <c r="G81" i="6"/>
  <c r="K81" i="6"/>
  <c r="K85" i="6"/>
  <c r="I80" i="6"/>
  <c r="I82" i="6"/>
  <c r="I84" i="6"/>
  <c r="I86" i="6"/>
  <c r="K86" i="6"/>
  <c r="K27" i="52" l="1"/>
  <c r="Z27" i="52"/>
  <c r="Z27" i="50"/>
  <c r="K27" i="50"/>
  <c r="R67" i="8"/>
  <c r="R59" i="8"/>
  <c r="K44" i="19" s="1"/>
  <c r="O61" i="8"/>
  <c r="L63" i="8"/>
  <c r="G74" i="6" s="1"/>
  <c r="R27" i="8"/>
  <c r="O29" i="8"/>
  <c r="O21" i="8"/>
  <c r="L25" i="8"/>
  <c r="O66" i="8"/>
  <c r="I77" i="6" s="1"/>
  <c r="R24" i="8"/>
  <c r="L20" i="8"/>
  <c r="L59" i="8"/>
  <c r="O25" i="8"/>
  <c r="R62" i="8"/>
  <c r="R22" i="8"/>
  <c r="O24" i="8"/>
  <c r="R61" i="8"/>
  <c r="R29" i="8"/>
  <c r="O23" i="8"/>
  <c r="R60" i="8"/>
  <c r="R20" i="8"/>
  <c r="R66" i="8"/>
  <c r="R58" i="8"/>
  <c r="O60" i="8"/>
  <c r="L64" i="8"/>
  <c r="G75" i="6" s="1"/>
  <c r="R26" i="8"/>
  <c r="O28" i="8"/>
  <c r="O20" i="8"/>
  <c r="L24" i="8"/>
  <c r="O58" i="8"/>
  <c r="O26" i="8"/>
  <c r="R63" i="8"/>
  <c r="L67" i="8"/>
  <c r="L60" i="8"/>
  <c r="G71" i="6" s="1"/>
  <c r="L28" i="8"/>
  <c r="L61" i="8"/>
  <c r="G72" i="6" s="1"/>
  <c r="L27" i="8"/>
  <c r="R28" i="8"/>
  <c r="L26" i="8"/>
  <c r="R65" i="8"/>
  <c r="O67" i="8"/>
  <c r="O59" i="8"/>
  <c r="L65" i="8"/>
  <c r="R25" i="8"/>
  <c r="O27" i="8"/>
  <c r="L21" i="8"/>
  <c r="G30" i="6" s="1"/>
  <c r="L23" i="8"/>
  <c r="R64" i="8"/>
  <c r="L66" i="8"/>
  <c r="L22" i="8"/>
  <c r="O65" i="8"/>
  <c r="I50" i="19" s="1"/>
  <c r="J50" i="19" s="1"/>
  <c r="R23" i="8"/>
  <c r="L29" i="8"/>
  <c r="O64" i="8"/>
  <c r="I75" i="6" s="1"/>
  <c r="L58" i="8"/>
  <c r="O63" i="8"/>
  <c r="R21" i="8"/>
  <c r="O62" i="8"/>
  <c r="L62" i="8"/>
  <c r="G73" i="6" s="1"/>
  <c r="O22" i="8"/>
  <c r="T56" i="34"/>
  <c r="E56" i="32"/>
  <c r="T56" i="36"/>
  <c r="T56" i="32"/>
  <c r="E56" i="34"/>
  <c r="E56" i="36"/>
  <c r="O24" i="19"/>
  <c r="O38" i="19" s="1"/>
  <c r="M81" i="19" s="1"/>
  <c r="W58" i="8"/>
  <c r="H60" i="8"/>
  <c r="X59" i="8"/>
  <c r="N59" i="8"/>
  <c r="Q59" i="8"/>
  <c r="M59" i="8"/>
  <c r="J62" i="8"/>
  <c r="S59" i="8"/>
  <c r="T59" i="8"/>
  <c r="P59" i="8"/>
  <c r="U59" i="8"/>
  <c r="V59" i="8"/>
  <c r="W59" i="8"/>
  <c r="Y13" i="5"/>
  <c r="T13" i="4"/>
  <c r="Y13" i="4"/>
  <c r="T13" i="5"/>
  <c r="F70" i="6"/>
  <c r="F44" i="19"/>
  <c r="O44" i="19" s="1"/>
  <c r="O61" i="19" s="1"/>
  <c r="O75" i="19" s="1"/>
  <c r="M82" i="19" s="1"/>
  <c r="J61" i="8"/>
  <c r="I66" i="8"/>
  <c r="K61" i="8"/>
  <c r="V20" i="8"/>
  <c r="M25" i="8"/>
  <c r="Q67" i="8"/>
  <c r="N63" i="8"/>
  <c r="W20" i="8"/>
  <c r="K26" i="8"/>
  <c r="M29" i="8"/>
  <c r="X67" i="8"/>
  <c r="U66" i="8"/>
  <c r="H62" i="8"/>
  <c r="S62" i="8"/>
  <c r="I20" i="8"/>
  <c r="S21" i="8"/>
  <c r="M23" i="8"/>
  <c r="K29" i="8"/>
  <c r="T21" i="8"/>
  <c r="P23" i="8"/>
  <c r="M27" i="8"/>
  <c r="W22" i="8"/>
  <c r="J25" i="8"/>
  <c r="H67" i="8"/>
  <c r="I67" i="8"/>
  <c r="Q66" i="8"/>
  <c r="P65" i="8"/>
  <c r="P62" i="8"/>
  <c r="T60" i="8"/>
  <c r="M63" i="8"/>
  <c r="M61" i="8"/>
  <c r="Q20" i="8"/>
  <c r="M21" i="8"/>
  <c r="I22" i="8"/>
  <c r="U22" i="8"/>
  <c r="K24" i="8"/>
  <c r="S27" i="8"/>
  <c r="N20" i="8"/>
  <c r="J22" i="8"/>
  <c r="H23" i="8"/>
  <c r="M24" i="8"/>
  <c r="M26" i="8"/>
  <c r="M28" i="8"/>
  <c r="W27" i="8"/>
  <c r="H28" i="8"/>
  <c r="W64" i="8"/>
  <c r="W63" i="8"/>
  <c r="W62" i="8"/>
  <c r="M62" i="8"/>
  <c r="M20" i="8"/>
  <c r="U20" i="8"/>
  <c r="I21" i="8"/>
  <c r="W21" i="8"/>
  <c r="K22" i="8"/>
  <c r="S22" i="8"/>
  <c r="K23" i="8"/>
  <c r="Q23" i="8"/>
  <c r="W26" i="8"/>
  <c r="S28" i="8"/>
  <c r="W29" i="8"/>
  <c r="H21" i="8"/>
  <c r="P21" i="8"/>
  <c r="X21" i="8"/>
  <c r="N22" i="8"/>
  <c r="V22" i="8"/>
  <c r="U23" i="8"/>
  <c r="U24" i="8"/>
  <c r="U25" i="8"/>
  <c r="U26" i="8"/>
  <c r="U27" i="8"/>
  <c r="U28" i="8"/>
  <c r="U29" i="8"/>
  <c r="Q21" i="8"/>
  <c r="H26" i="8"/>
  <c r="W23" i="8"/>
  <c r="S24" i="8"/>
  <c r="W25" i="8"/>
  <c r="S26" i="8"/>
  <c r="K28" i="8"/>
  <c r="W28" i="8"/>
  <c r="S29" i="8"/>
  <c r="J20" i="8"/>
  <c r="P20" i="8"/>
  <c r="T20" i="8"/>
  <c r="X20" i="8"/>
  <c r="J21" i="8"/>
  <c r="N21" i="8"/>
  <c r="V21" i="8"/>
  <c r="H22" i="8"/>
  <c r="P22" i="8"/>
  <c r="T22" i="8"/>
  <c r="X22" i="8"/>
  <c r="J23" i="8"/>
  <c r="N23" i="8"/>
  <c r="I24" i="8"/>
  <c r="Q24" i="8"/>
  <c r="I25" i="8"/>
  <c r="Q25" i="8"/>
  <c r="I26" i="8"/>
  <c r="Q26" i="8"/>
  <c r="I27" i="8"/>
  <c r="Q27" i="8"/>
  <c r="I28" i="8"/>
  <c r="Q28" i="8"/>
  <c r="I29" i="8"/>
  <c r="Q29" i="8"/>
  <c r="K20" i="8"/>
  <c r="S20" i="8"/>
  <c r="M22" i="8"/>
  <c r="K25" i="8"/>
  <c r="V23" i="8"/>
  <c r="T24" i="8"/>
  <c r="T26" i="8"/>
  <c r="V29" i="8"/>
  <c r="K21" i="8"/>
  <c r="U21" i="8"/>
  <c r="Q22" i="8"/>
  <c r="I23" i="8"/>
  <c r="S23" i="8"/>
  <c r="W24" i="8"/>
  <c r="H24" i="8"/>
  <c r="P24" i="8"/>
  <c r="X24" i="8"/>
  <c r="N25" i="8"/>
  <c r="V25" i="8"/>
  <c r="J27" i="8"/>
  <c r="X28" i="8"/>
  <c r="X58" i="8"/>
  <c r="J67" i="8"/>
  <c r="N65" i="8"/>
  <c r="S25" i="8"/>
  <c r="K27" i="8"/>
  <c r="T23" i="8"/>
  <c r="X23" i="8"/>
  <c r="J24" i="8"/>
  <c r="N24" i="8"/>
  <c r="V24" i="8"/>
  <c r="H25" i="8"/>
  <c r="P25" i="8"/>
  <c r="T25" i="8"/>
  <c r="X25" i="8"/>
  <c r="J26" i="8"/>
  <c r="P26" i="8"/>
  <c r="X26" i="8"/>
  <c r="P28" i="8"/>
  <c r="N29" i="8"/>
  <c r="P58" i="8"/>
  <c r="T66" i="8"/>
  <c r="V65" i="8"/>
  <c r="X64" i="8"/>
  <c r="N27" i="8"/>
  <c r="V27" i="8"/>
  <c r="T28" i="8"/>
  <c r="J29" i="8"/>
  <c r="H58" i="8"/>
  <c r="T58" i="8"/>
  <c r="K58" i="8"/>
  <c r="S58" i="8"/>
  <c r="V67" i="8"/>
  <c r="N67" i="8"/>
  <c r="X66" i="8"/>
  <c r="P66" i="8"/>
  <c r="H66" i="8"/>
  <c r="J65" i="8"/>
  <c r="H20" i="8"/>
  <c r="U58" i="8"/>
  <c r="Q58" i="8"/>
  <c r="M58" i="8"/>
  <c r="I58" i="8"/>
  <c r="V58" i="8"/>
  <c r="N58" i="8"/>
  <c r="J58" i="8"/>
  <c r="X29" i="8"/>
  <c r="T29" i="8"/>
  <c r="P29" i="8"/>
  <c r="H29" i="8"/>
  <c r="V28" i="8"/>
  <c r="N28" i="8"/>
  <c r="J28" i="8"/>
  <c r="X27" i="8"/>
  <c r="T27" i="8"/>
  <c r="P27" i="8"/>
  <c r="H27" i="8"/>
  <c r="V26" i="8"/>
  <c r="N26" i="8"/>
  <c r="T67" i="8"/>
  <c r="P67" i="8"/>
  <c r="V66" i="8"/>
  <c r="N66" i="8"/>
  <c r="J66" i="8"/>
  <c r="X65" i="8"/>
  <c r="T65" i="8"/>
  <c r="H65" i="8"/>
  <c r="V64" i="8"/>
  <c r="N64" i="8"/>
  <c r="J64" i="8"/>
  <c r="X63" i="8"/>
  <c r="T63" i="8"/>
  <c r="P63" i="8"/>
  <c r="H63" i="8"/>
  <c r="V62" i="8"/>
  <c r="N62" i="8"/>
  <c r="X61" i="8"/>
  <c r="T61" i="8"/>
  <c r="W67" i="8"/>
  <c r="W66" i="8"/>
  <c r="W65" i="8"/>
  <c r="W61" i="8"/>
  <c r="P61" i="8"/>
  <c r="H61" i="8"/>
  <c r="V60" i="8"/>
  <c r="I65" i="8"/>
  <c r="I64" i="8"/>
  <c r="I63" i="8"/>
  <c r="I62" i="8"/>
  <c r="U60" i="8"/>
  <c r="K60" i="8"/>
  <c r="M66" i="8"/>
  <c r="M64" i="8"/>
  <c r="N60" i="8"/>
  <c r="M67" i="8"/>
  <c r="W60" i="8"/>
  <c r="U62" i="8"/>
  <c r="T64" i="8"/>
  <c r="P64" i="8"/>
  <c r="H64" i="8"/>
  <c r="V63" i="8"/>
  <c r="J63" i="8"/>
  <c r="X62" i="8"/>
  <c r="T62" i="8"/>
  <c r="V61" i="8"/>
  <c r="S67" i="8"/>
  <c r="K67" i="8"/>
  <c r="S66" i="8"/>
  <c r="K66" i="8"/>
  <c r="S65" i="8"/>
  <c r="K65" i="8"/>
  <c r="S64" i="8"/>
  <c r="K64" i="8"/>
  <c r="S63" i="8"/>
  <c r="K63" i="8"/>
  <c r="K62" i="8"/>
  <c r="S61" i="8"/>
  <c r="N61" i="8"/>
  <c r="X60" i="8"/>
  <c r="Q65" i="8"/>
  <c r="Q64" i="8"/>
  <c r="Q63" i="8"/>
  <c r="Q62" i="8"/>
  <c r="Q61" i="8"/>
  <c r="I61" i="8"/>
  <c r="Q60" i="8"/>
  <c r="M60" i="8"/>
  <c r="I60" i="8"/>
  <c r="U67" i="8"/>
  <c r="U65" i="8"/>
  <c r="U63" i="8"/>
  <c r="U61" i="8"/>
  <c r="S60" i="8"/>
  <c r="J60" i="8"/>
  <c r="U64" i="8"/>
  <c r="P60" i="8"/>
  <c r="M65" i="8"/>
  <c r="Z28" i="52" l="1"/>
  <c r="K28" i="52"/>
  <c r="K28" i="50"/>
  <c r="Z28" i="50"/>
  <c r="M83" i="19"/>
  <c r="M84" i="19" s="1"/>
  <c r="E57" i="36"/>
  <c r="T57" i="36"/>
  <c r="T57" i="34"/>
  <c r="E57" i="34"/>
  <c r="T57" i="32"/>
  <c r="E57" i="32"/>
  <c r="M32" i="8"/>
  <c r="G44" i="19"/>
  <c r="H44" i="19" s="1"/>
  <c r="G70" i="6"/>
  <c r="L44" i="19"/>
  <c r="T14" i="5"/>
  <c r="Y14" i="4"/>
  <c r="T14" i="4"/>
  <c r="Y14" i="5"/>
  <c r="K37" i="6"/>
  <c r="L37" i="6" s="1"/>
  <c r="K14" i="19"/>
  <c r="L14" i="19" s="1"/>
  <c r="K36" i="6"/>
  <c r="L36" i="6" s="1"/>
  <c r="K13" i="19"/>
  <c r="L13" i="19" s="1"/>
  <c r="K34" i="6"/>
  <c r="K83" i="6" s="1"/>
  <c r="K11" i="19"/>
  <c r="L11" i="19" s="1"/>
  <c r="I32" i="6"/>
  <c r="J32" i="6" s="1"/>
  <c r="I9" i="19"/>
  <c r="J9" i="19" s="1"/>
  <c r="K32" i="6"/>
  <c r="L32" i="6" s="1"/>
  <c r="K9" i="19"/>
  <c r="L9" i="19" s="1"/>
  <c r="G33" i="6"/>
  <c r="G82" i="6" s="1"/>
  <c r="G10" i="19"/>
  <c r="H10" i="19" s="1"/>
  <c r="I34" i="6"/>
  <c r="J34" i="6" s="1"/>
  <c r="I11" i="19"/>
  <c r="J11" i="19" s="1"/>
  <c r="I31" i="6"/>
  <c r="J31" i="6" s="1"/>
  <c r="I8" i="19"/>
  <c r="J8" i="19" s="1"/>
  <c r="G37" i="6"/>
  <c r="G86" i="6" s="1"/>
  <c r="G14" i="19"/>
  <c r="H14" i="19" s="1"/>
  <c r="I38" i="6"/>
  <c r="J38" i="6" s="1"/>
  <c r="I15" i="19"/>
  <c r="J15" i="19" s="1"/>
  <c r="K30" i="6"/>
  <c r="L30" i="6" s="1"/>
  <c r="K132" i="6" s="1"/>
  <c r="K7" i="19"/>
  <c r="L7" i="19" s="1"/>
  <c r="I33" i="6"/>
  <c r="J33" i="6" s="1"/>
  <c r="I10" i="19"/>
  <c r="J10" i="19" s="1"/>
  <c r="G32" i="6"/>
  <c r="H32" i="6" s="1"/>
  <c r="G9" i="19"/>
  <c r="H9" i="19" s="1"/>
  <c r="I30" i="6"/>
  <c r="J30" i="6" s="1"/>
  <c r="I132" i="6" s="1"/>
  <c r="I7" i="19"/>
  <c r="J7" i="19" s="1"/>
  <c r="G7" i="19"/>
  <c r="H7" i="19" s="1"/>
  <c r="K31" i="6"/>
  <c r="K80" i="6" s="1"/>
  <c r="K8" i="19"/>
  <c r="L8" i="19" s="1"/>
  <c r="G36" i="6"/>
  <c r="G85" i="6" s="1"/>
  <c r="G13" i="19"/>
  <c r="H13" i="19" s="1"/>
  <c r="K38" i="6"/>
  <c r="K87" i="6" s="1"/>
  <c r="K15" i="19"/>
  <c r="L15" i="19" s="1"/>
  <c r="K33" i="6"/>
  <c r="K82" i="6" s="1"/>
  <c r="K10" i="19"/>
  <c r="L10" i="19" s="1"/>
  <c r="I35" i="6"/>
  <c r="J35" i="6" s="1"/>
  <c r="I12" i="19"/>
  <c r="J12" i="19" s="1"/>
  <c r="S32" i="8"/>
  <c r="G31" i="6"/>
  <c r="G80" i="6" s="1"/>
  <c r="G8" i="19"/>
  <c r="H8" i="19" s="1"/>
  <c r="K35" i="6"/>
  <c r="K84" i="6" s="1"/>
  <c r="K12" i="19"/>
  <c r="L12" i="19" s="1"/>
  <c r="G38" i="6"/>
  <c r="H38" i="6" s="1"/>
  <c r="G15" i="19"/>
  <c r="H15" i="19" s="1"/>
  <c r="G34" i="6"/>
  <c r="H34" i="6" s="1"/>
  <c r="G11" i="19"/>
  <c r="H11" i="19" s="1"/>
  <c r="I37" i="6"/>
  <c r="J37" i="6" s="1"/>
  <c r="I14" i="19"/>
  <c r="J14" i="19" s="1"/>
  <c r="G35" i="6"/>
  <c r="G84" i="6" s="1"/>
  <c r="G12" i="19"/>
  <c r="H12" i="19" s="1"/>
  <c r="I36" i="6"/>
  <c r="J36" i="6" s="1"/>
  <c r="I13" i="19"/>
  <c r="J13" i="19" s="1"/>
  <c r="G46" i="19"/>
  <c r="H46" i="19" s="1"/>
  <c r="I78" i="6"/>
  <c r="I52" i="19"/>
  <c r="J52" i="19" s="1"/>
  <c r="K76" i="6"/>
  <c r="K50" i="19"/>
  <c r="L50" i="19" s="1"/>
  <c r="K71" i="6"/>
  <c r="K45" i="19"/>
  <c r="L45" i="19" s="1"/>
  <c r="G48" i="19"/>
  <c r="H48" i="19" s="1"/>
  <c r="G76" i="6"/>
  <c r="G50" i="19"/>
  <c r="H50" i="19" s="1"/>
  <c r="G77" i="6"/>
  <c r="G51" i="19"/>
  <c r="H51" i="19" s="1"/>
  <c r="G45" i="19"/>
  <c r="H45" i="19" s="1"/>
  <c r="I73" i="6"/>
  <c r="I47" i="19"/>
  <c r="J47" i="19" s="1"/>
  <c r="G49" i="19"/>
  <c r="H49" i="19" s="1"/>
  <c r="I49" i="19"/>
  <c r="J49" i="19" s="1"/>
  <c r="G47" i="19"/>
  <c r="H47" i="19" s="1"/>
  <c r="K74" i="6"/>
  <c r="K48" i="19"/>
  <c r="L48" i="19" s="1"/>
  <c r="I72" i="6"/>
  <c r="I46" i="19"/>
  <c r="J46" i="19" s="1"/>
  <c r="I51" i="19"/>
  <c r="J51" i="19" s="1"/>
  <c r="K73" i="6"/>
  <c r="K47" i="19"/>
  <c r="L47" i="19" s="1"/>
  <c r="K77" i="6"/>
  <c r="K51" i="19"/>
  <c r="L51" i="19" s="1"/>
  <c r="G78" i="6"/>
  <c r="G52" i="19"/>
  <c r="H52" i="19" s="1"/>
  <c r="I70" i="6"/>
  <c r="I44" i="19"/>
  <c r="J44" i="19" s="1"/>
  <c r="K75" i="6"/>
  <c r="K49" i="19"/>
  <c r="L49" i="19" s="1"/>
  <c r="I74" i="6"/>
  <c r="I48" i="19"/>
  <c r="J48" i="19" s="1"/>
  <c r="K78" i="6"/>
  <c r="K52" i="19"/>
  <c r="L52" i="19" s="1"/>
  <c r="I71" i="6"/>
  <c r="I45" i="19"/>
  <c r="J45" i="19" s="1"/>
  <c r="K72" i="6"/>
  <c r="K46" i="19"/>
  <c r="L46" i="19" s="1"/>
  <c r="O32" i="8"/>
  <c r="R32" i="8"/>
  <c r="J32" i="8"/>
  <c r="U32" i="8"/>
  <c r="K32" i="8"/>
  <c r="Q32" i="8"/>
  <c r="P32" i="8"/>
  <c r="N32" i="8"/>
  <c r="T32" i="8"/>
  <c r="R70" i="8"/>
  <c r="K70" i="6"/>
  <c r="O70" i="8"/>
  <c r="I76" i="6"/>
  <c r="P70" i="8"/>
  <c r="U70" i="8"/>
  <c r="S70" i="8"/>
  <c r="L70" i="8"/>
  <c r="J70" i="8"/>
  <c r="L32" i="8"/>
  <c r="N70" i="8"/>
  <c r="Q70" i="8"/>
  <c r="T70" i="8"/>
  <c r="M70" i="8"/>
  <c r="K70" i="8"/>
  <c r="K101" i="6"/>
  <c r="I101" i="6"/>
  <c r="G101" i="6"/>
  <c r="K100" i="6"/>
  <c r="I100" i="6"/>
  <c r="G100" i="6"/>
  <c r="K99" i="6"/>
  <c r="I99" i="6"/>
  <c r="G99" i="6"/>
  <c r="K98" i="6"/>
  <c r="I98" i="6"/>
  <c r="G98" i="6"/>
  <c r="K97" i="6"/>
  <c r="I97" i="6"/>
  <c r="G97" i="6"/>
  <c r="K96" i="6"/>
  <c r="I96" i="6"/>
  <c r="G96" i="6"/>
  <c r="K95" i="6"/>
  <c r="I95" i="6"/>
  <c r="G95" i="6"/>
  <c r="K94" i="6"/>
  <c r="I94" i="6"/>
  <c r="G94" i="6"/>
  <c r="M87" i="6"/>
  <c r="E87" i="6"/>
  <c r="J87" i="6" s="1"/>
  <c r="M86" i="6"/>
  <c r="E86" i="6"/>
  <c r="M85" i="6"/>
  <c r="E85" i="6"/>
  <c r="J85" i="6" s="1"/>
  <c r="M84" i="6"/>
  <c r="E84" i="6"/>
  <c r="M83" i="6"/>
  <c r="E83" i="6"/>
  <c r="J83" i="6" s="1"/>
  <c r="M82" i="6"/>
  <c r="E82" i="6"/>
  <c r="M81" i="6"/>
  <c r="E81" i="6"/>
  <c r="J81" i="6" s="1"/>
  <c r="M80" i="6"/>
  <c r="E80" i="6"/>
  <c r="M78" i="6"/>
  <c r="E78" i="6"/>
  <c r="M77" i="6"/>
  <c r="E77" i="6"/>
  <c r="J77" i="6" s="1"/>
  <c r="M76" i="6"/>
  <c r="E76" i="6"/>
  <c r="M75" i="6"/>
  <c r="E75" i="6"/>
  <c r="J75" i="6" s="1"/>
  <c r="M74" i="6"/>
  <c r="E74" i="6"/>
  <c r="M73" i="6"/>
  <c r="E73" i="6"/>
  <c r="M72" i="6"/>
  <c r="E72" i="6"/>
  <c r="M71" i="6"/>
  <c r="E71" i="6"/>
  <c r="M70" i="6"/>
  <c r="E70" i="6"/>
  <c r="H54" i="6"/>
  <c r="M47" i="6"/>
  <c r="Q47" i="6" s="1"/>
  <c r="L47" i="6"/>
  <c r="J47" i="6"/>
  <c r="H47" i="6"/>
  <c r="M46" i="6"/>
  <c r="Q46" i="6" s="1"/>
  <c r="L46" i="6"/>
  <c r="J46" i="6"/>
  <c r="H46" i="6"/>
  <c r="M45" i="6"/>
  <c r="Q45" i="6" s="1"/>
  <c r="L45" i="6"/>
  <c r="J45" i="6"/>
  <c r="H45" i="6"/>
  <c r="M44" i="6"/>
  <c r="Q44" i="6" s="1"/>
  <c r="L44" i="6"/>
  <c r="J44" i="6"/>
  <c r="H44" i="6"/>
  <c r="M43" i="6"/>
  <c r="Q43" i="6" s="1"/>
  <c r="L43" i="6"/>
  <c r="J43" i="6"/>
  <c r="H43" i="6"/>
  <c r="M42" i="6"/>
  <c r="Q42" i="6" s="1"/>
  <c r="L42" i="6"/>
  <c r="J42" i="6"/>
  <c r="H42" i="6"/>
  <c r="M41" i="6"/>
  <c r="Q41" i="6" s="1"/>
  <c r="L41" i="6"/>
  <c r="J41" i="6"/>
  <c r="H41" i="6"/>
  <c r="M40" i="6"/>
  <c r="Q40" i="6" s="1"/>
  <c r="G6" i="32" s="1"/>
  <c r="N6" i="32" s="1"/>
  <c r="L40" i="6"/>
  <c r="J40" i="6"/>
  <c r="H40" i="6"/>
  <c r="M38" i="6"/>
  <c r="Q38" i="6" s="1"/>
  <c r="M37" i="6"/>
  <c r="Q37" i="6" s="1"/>
  <c r="M36" i="6"/>
  <c r="Q36" i="6" s="1"/>
  <c r="M35" i="6"/>
  <c r="Q35" i="6" s="1"/>
  <c r="M34" i="6"/>
  <c r="Q34" i="6" s="1"/>
  <c r="M33" i="6"/>
  <c r="Q33" i="6" s="1"/>
  <c r="M32" i="6"/>
  <c r="Q32" i="6" s="1"/>
  <c r="M31" i="6"/>
  <c r="Q31" i="6" s="1"/>
  <c r="M30" i="6"/>
  <c r="Q30" i="6" s="1"/>
  <c r="M132" i="6" s="1"/>
  <c r="H30" i="6"/>
  <c r="G132" i="6" s="1"/>
  <c r="P6" i="32" l="1"/>
  <c r="D6" i="32"/>
  <c r="D6" i="36"/>
  <c r="D6" i="34"/>
  <c r="I136" i="6"/>
  <c r="Q136" i="6"/>
  <c r="G7" i="30"/>
  <c r="G8" i="30" s="1"/>
  <c r="S20" i="30" s="1"/>
  <c r="G7" i="52"/>
  <c r="G8" i="52" s="1"/>
  <c r="S20" i="52" s="1"/>
  <c r="G11" i="53"/>
  <c r="N11" i="53" s="1"/>
  <c r="P11" i="53" s="1"/>
  <c r="G11" i="35"/>
  <c r="P11" i="35" s="1"/>
  <c r="G6" i="35"/>
  <c r="G6" i="53"/>
  <c r="N6" i="53" s="1"/>
  <c r="D6" i="38"/>
  <c r="D6" i="40"/>
  <c r="D6" i="39"/>
  <c r="G7" i="35"/>
  <c r="P7" i="35" s="1"/>
  <c r="G7" i="53"/>
  <c r="N7" i="53" s="1"/>
  <c r="P7" i="53" s="1"/>
  <c r="E12" i="35"/>
  <c r="E12" i="53"/>
  <c r="D7" i="35"/>
  <c r="D7" i="53"/>
  <c r="F7" i="35"/>
  <c r="F7" i="53"/>
  <c r="F12" i="35"/>
  <c r="F12" i="53"/>
  <c r="G8" i="35"/>
  <c r="P8" i="35" s="1"/>
  <c r="G8" i="53"/>
  <c r="N8" i="53" s="1"/>
  <c r="P8" i="53" s="1"/>
  <c r="G9" i="53"/>
  <c r="N9" i="53" s="1"/>
  <c r="P9" i="53" s="1"/>
  <c r="G9" i="35"/>
  <c r="P9" i="35" s="1"/>
  <c r="G6" i="34"/>
  <c r="N6" i="34" s="1"/>
  <c r="G6" i="36"/>
  <c r="N6" i="36" s="1"/>
  <c r="G8" i="32"/>
  <c r="N8" i="32" s="1"/>
  <c r="P8" i="32" s="1"/>
  <c r="G8" i="36"/>
  <c r="N8" i="36" s="1"/>
  <c r="P8" i="36" s="1"/>
  <c r="G8" i="34"/>
  <c r="N8" i="34" s="1"/>
  <c r="P8" i="34" s="1"/>
  <c r="G10" i="32"/>
  <c r="N10" i="32" s="1"/>
  <c r="P10" i="32" s="1"/>
  <c r="G10" i="34"/>
  <c r="N10" i="34" s="1"/>
  <c r="P10" i="34" s="1"/>
  <c r="G10" i="36"/>
  <c r="N10" i="36" s="1"/>
  <c r="P10" i="36" s="1"/>
  <c r="G12" i="32"/>
  <c r="N12" i="32" s="1"/>
  <c r="P12" i="32" s="1"/>
  <c r="G12" i="34"/>
  <c r="N12" i="34" s="1"/>
  <c r="P12" i="34" s="1"/>
  <c r="G12" i="36"/>
  <c r="N12" i="36" s="1"/>
  <c r="P12" i="36" s="1"/>
  <c r="E19" i="35"/>
  <c r="E19" i="53"/>
  <c r="D9" i="35"/>
  <c r="D9" i="53"/>
  <c r="E8" i="35"/>
  <c r="E8" i="53"/>
  <c r="E6" i="53"/>
  <c r="E6" i="35"/>
  <c r="E7" i="35"/>
  <c r="E7" i="53"/>
  <c r="G10" i="35"/>
  <c r="P10" i="35" s="1"/>
  <c r="G10" i="53"/>
  <c r="N10" i="53" s="1"/>
  <c r="P10" i="53" s="1"/>
  <c r="E10" i="35"/>
  <c r="E10" i="53"/>
  <c r="K29" i="52"/>
  <c r="E11" i="53"/>
  <c r="E11" i="35"/>
  <c r="D13" i="35"/>
  <c r="D13" i="53"/>
  <c r="F7" i="30"/>
  <c r="F7" i="52"/>
  <c r="E9" i="35"/>
  <c r="E9" i="53"/>
  <c r="D7" i="52"/>
  <c r="D7" i="30"/>
  <c r="G12" i="53"/>
  <c r="N12" i="53" s="1"/>
  <c r="P12" i="53" s="1"/>
  <c r="G12" i="35"/>
  <c r="P12" i="35" s="1"/>
  <c r="G13" i="35"/>
  <c r="P13" i="35" s="1"/>
  <c r="G13" i="53"/>
  <c r="N13" i="53" s="1"/>
  <c r="P13" i="53" s="1"/>
  <c r="G7" i="32"/>
  <c r="N7" i="32" s="1"/>
  <c r="P7" i="32" s="1"/>
  <c r="G7" i="36"/>
  <c r="N7" i="36" s="1"/>
  <c r="P7" i="36" s="1"/>
  <c r="G7" i="34"/>
  <c r="N7" i="34" s="1"/>
  <c r="P7" i="34" s="1"/>
  <c r="G9" i="32"/>
  <c r="N9" i="32" s="1"/>
  <c r="P9" i="32" s="1"/>
  <c r="G9" i="36"/>
  <c r="N9" i="36" s="1"/>
  <c r="P9" i="36" s="1"/>
  <c r="G9" i="34"/>
  <c r="N9" i="34" s="1"/>
  <c r="P9" i="34" s="1"/>
  <c r="G11" i="32"/>
  <c r="N11" i="32" s="1"/>
  <c r="P11" i="32" s="1"/>
  <c r="G11" i="34"/>
  <c r="N11" i="34" s="1"/>
  <c r="P11" i="34" s="1"/>
  <c r="G11" i="36"/>
  <c r="N11" i="36" s="1"/>
  <c r="P11" i="36" s="1"/>
  <c r="G13" i="32"/>
  <c r="N13" i="32" s="1"/>
  <c r="P13" i="32" s="1"/>
  <c r="G13" i="36"/>
  <c r="N13" i="36" s="1"/>
  <c r="P13" i="36" s="1"/>
  <c r="G13" i="34"/>
  <c r="N13" i="34" s="1"/>
  <c r="P13" i="34" s="1"/>
  <c r="E21" i="35"/>
  <c r="E21" i="53"/>
  <c r="E7" i="52"/>
  <c r="E7" i="30"/>
  <c r="E13" i="35"/>
  <c r="E13" i="53"/>
  <c r="F11" i="35"/>
  <c r="F11" i="53"/>
  <c r="Z29" i="52"/>
  <c r="G7" i="29"/>
  <c r="G8" i="29" s="1"/>
  <c r="S20" i="29" s="1"/>
  <c r="G7" i="50"/>
  <c r="G8" i="50" s="1"/>
  <c r="S20" i="50" s="1"/>
  <c r="L34" i="6"/>
  <c r="F9" i="31" s="1"/>
  <c r="Z29" i="50"/>
  <c r="K29" i="50"/>
  <c r="G7" i="51"/>
  <c r="N7" i="51" s="1"/>
  <c r="P7" i="51" s="1"/>
  <c r="G7" i="33"/>
  <c r="P7" i="33" s="1"/>
  <c r="E12" i="51"/>
  <c r="E12" i="33"/>
  <c r="D7" i="51"/>
  <c r="D7" i="33"/>
  <c r="F7" i="51"/>
  <c r="F7" i="33"/>
  <c r="F12" i="51"/>
  <c r="F12" i="33"/>
  <c r="G13" i="51"/>
  <c r="N13" i="51" s="1"/>
  <c r="P13" i="51" s="1"/>
  <c r="G13" i="33"/>
  <c r="P13" i="33" s="1"/>
  <c r="G9" i="51"/>
  <c r="N9" i="51" s="1"/>
  <c r="P9" i="51" s="1"/>
  <c r="G9" i="33"/>
  <c r="P9" i="33" s="1"/>
  <c r="G10" i="51"/>
  <c r="G10" i="33"/>
  <c r="P10" i="33" s="1"/>
  <c r="E19" i="48"/>
  <c r="E19" i="51"/>
  <c r="E19" i="33"/>
  <c r="D9" i="51"/>
  <c r="D9" i="33"/>
  <c r="E8" i="51"/>
  <c r="E8" i="33"/>
  <c r="E6" i="51"/>
  <c r="E6" i="33"/>
  <c r="E7" i="51"/>
  <c r="E7" i="33"/>
  <c r="D7" i="29"/>
  <c r="D7" i="50"/>
  <c r="G11" i="51"/>
  <c r="N11" i="51" s="1"/>
  <c r="P11" i="51" s="1"/>
  <c r="G11" i="33"/>
  <c r="P11" i="33" s="1"/>
  <c r="E10" i="51"/>
  <c r="E10" i="33"/>
  <c r="G12" i="51"/>
  <c r="N12" i="51" s="1"/>
  <c r="P12" i="51" s="1"/>
  <c r="G12" i="33"/>
  <c r="P12" i="33" s="1"/>
  <c r="E11" i="51"/>
  <c r="E11" i="33"/>
  <c r="D13" i="51"/>
  <c r="D13" i="33"/>
  <c r="F7" i="29"/>
  <c r="F7" i="50"/>
  <c r="E9" i="51"/>
  <c r="E9" i="33"/>
  <c r="G6" i="51"/>
  <c r="N6" i="51" s="1"/>
  <c r="G6" i="33"/>
  <c r="E13" i="51"/>
  <c r="E13" i="33"/>
  <c r="E21" i="48"/>
  <c r="E21" i="51"/>
  <c r="E21" i="33"/>
  <c r="E7" i="29"/>
  <c r="E7" i="50"/>
  <c r="F11" i="51"/>
  <c r="F11" i="33"/>
  <c r="G8" i="51"/>
  <c r="N8" i="51" s="1"/>
  <c r="P8" i="51" s="1"/>
  <c r="G8" i="33"/>
  <c r="P8" i="33" s="1"/>
  <c r="Q48" i="6"/>
  <c r="M153" i="6" s="1"/>
  <c r="Q157" i="6" s="1"/>
  <c r="E12" i="48"/>
  <c r="E12" i="31"/>
  <c r="D7" i="48"/>
  <c r="D7" i="31"/>
  <c r="F7" i="48"/>
  <c r="F7" i="31"/>
  <c r="F12" i="48"/>
  <c r="F12" i="31"/>
  <c r="G9" i="31"/>
  <c r="P9" i="31" s="1"/>
  <c r="G9" i="48"/>
  <c r="N9" i="48" s="1"/>
  <c r="P9" i="48" s="1"/>
  <c r="E19" i="31"/>
  <c r="D9" i="48"/>
  <c r="D9" i="31"/>
  <c r="E8" i="31"/>
  <c r="E8" i="48"/>
  <c r="E6" i="31"/>
  <c r="E6" i="48"/>
  <c r="E7" i="31"/>
  <c r="E7" i="48"/>
  <c r="G11" i="31"/>
  <c r="P11" i="31" s="1"/>
  <c r="G11" i="48"/>
  <c r="N11" i="48" s="1"/>
  <c r="P11" i="48" s="1"/>
  <c r="E10" i="48"/>
  <c r="E10" i="31"/>
  <c r="G12" i="31"/>
  <c r="P12" i="31" s="1"/>
  <c r="G12" i="48"/>
  <c r="N12" i="48" s="1"/>
  <c r="P12" i="48" s="1"/>
  <c r="E11" i="31"/>
  <c r="E11" i="48"/>
  <c r="D13" i="31"/>
  <c r="D13" i="48"/>
  <c r="E9" i="48"/>
  <c r="E9" i="31"/>
  <c r="G10" i="31"/>
  <c r="P10" i="31" s="1"/>
  <c r="G10" i="48"/>
  <c r="N10" i="48" s="1"/>
  <c r="P10" i="48" s="1"/>
  <c r="G6" i="31"/>
  <c r="G6" i="48"/>
  <c r="N6" i="48" s="1"/>
  <c r="E13" i="31"/>
  <c r="E13" i="48"/>
  <c r="G13" i="31"/>
  <c r="P13" i="31" s="1"/>
  <c r="G13" i="48"/>
  <c r="N13" i="48" s="1"/>
  <c r="P13" i="48" s="1"/>
  <c r="E21" i="31"/>
  <c r="F11" i="31"/>
  <c r="F11" i="48"/>
  <c r="G7" i="48"/>
  <c r="N7" i="48" s="1"/>
  <c r="P7" i="48" s="1"/>
  <c r="G7" i="31"/>
  <c r="P7" i="31" s="1"/>
  <c r="G8" i="31"/>
  <c r="P8" i="31" s="1"/>
  <c r="G8" i="48"/>
  <c r="N8" i="48" s="1"/>
  <c r="P8" i="48" s="1"/>
  <c r="G122" i="6"/>
  <c r="D7" i="47"/>
  <c r="D7" i="28"/>
  <c r="M122" i="6"/>
  <c r="Q126" i="6" s="1"/>
  <c r="G7" i="28"/>
  <c r="G8" i="28" s="1"/>
  <c r="S20" i="28" s="1"/>
  <c r="G7" i="47"/>
  <c r="G8" i="47" s="1"/>
  <c r="S20" i="47" s="1"/>
  <c r="K122" i="6"/>
  <c r="F7" i="28"/>
  <c r="F7" i="47"/>
  <c r="I122" i="6"/>
  <c r="E7" i="28"/>
  <c r="E7" i="47"/>
  <c r="L38" i="6"/>
  <c r="H48" i="6"/>
  <c r="G153" i="6" s="1"/>
  <c r="L48" i="6"/>
  <c r="K153" i="6" s="1"/>
  <c r="J48" i="6"/>
  <c r="I153" i="6" s="1"/>
  <c r="H31" i="6"/>
  <c r="H37" i="6"/>
  <c r="Q39" i="6"/>
  <c r="M143" i="6" s="1"/>
  <c r="H24" i="19"/>
  <c r="H38" i="19" s="1"/>
  <c r="G81" i="19" s="1"/>
  <c r="J39" i="6"/>
  <c r="I143" i="6" s="1"/>
  <c r="L33" i="6"/>
  <c r="E58" i="32"/>
  <c r="E58" i="34"/>
  <c r="T58" i="36"/>
  <c r="T58" i="32"/>
  <c r="T58" i="34"/>
  <c r="E58" i="36"/>
  <c r="J72" i="6"/>
  <c r="H36" i="6"/>
  <c r="J71" i="6"/>
  <c r="J78" i="6"/>
  <c r="J73" i="6"/>
  <c r="T15" i="5"/>
  <c r="Y15" i="5"/>
  <c r="T15" i="4"/>
  <c r="Y15" i="4"/>
  <c r="L31" i="6"/>
  <c r="H33" i="6"/>
  <c r="J24" i="19"/>
  <c r="J38" i="19" s="1"/>
  <c r="I81" i="19" s="1"/>
  <c r="L35" i="6"/>
  <c r="H61" i="19"/>
  <c r="H75" i="19" s="1"/>
  <c r="G82" i="19" s="1"/>
  <c r="L24" i="19"/>
  <c r="L38" i="19" s="1"/>
  <c r="K81" i="19" s="1"/>
  <c r="J70" i="6"/>
  <c r="I133" i="6" s="1"/>
  <c r="I134" i="6" s="1"/>
  <c r="J74" i="6"/>
  <c r="H35" i="6"/>
  <c r="L61" i="19"/>
  <c r="L75" i="19" s="1"/>
  <c r="K82" i="19" s="1"/>
  <c r="J61" i="19"/>
  <c r="J75" i="19" s="1"/>
  <c r="I82" i="19" s="1"/>
  <c r="J76" i="6"/>
  <c r="Q78" i="6"/>
  <c r="Q86" i="6"/>
  <c r="Q87" i="6"/>
  <c r="Q80" i="6"/>
  <c r="H81" i="6"/>
  <c r="Q75" i="6"/>
  <c r="Q76" i="6"/>
  <c r="Q77" i="6"/>
  <c r="Q70" i="6"/>
  <c r="M133" i="6" s="1"/>
  <c r="Q137" i="6" s="1"/>
  <c r="Q71" i="6"/>
  <c r="Q72" i="6"/>
  <c r="Q73" i="6"/>
  <c r="H74" i="6"/>
  <c r="Q81" i="6"/>
  <c r="Q82" i="6"/>
  <c r="Q83" i="6"/>
  <c r="Q84" i="6"/>
  <c r="H85" i="6"/>
  <c r="Q74" i="6"/>
  <c r="Q85" i="6"/>
  <c r="L73" i="6"/>
  <c r="H76" i="6"/>
  <c r="H83" i="6"/>
  <c r="H87" i="6"/>
  <c r="L101" i="6"/>
  <c r="H97" i="6"/>
  <c r="H78" i="6"/>
  <c r="H72" i="6"/>
  <c r="H70" i="6"/>
  <c r="G133" i="6" s="1"/>
  <c r="G134" i="6" s="1"/>
  <c r="L70" i="6"/>
  <c r="K133" i="6" s="1"/>
  <c r="K134" i="6" s="1"/>
  <c r="H71" i="6"/>
  <c r="L72" i="6"/>
  <c r="H73" i="6"/>
  <c r="L74" i="6"/>
  <c r="H75" i="6"/>
  <c r="L76" i="6"/>
  <c r="H77" i="6"/>
  <c r="L78" i="6"/>
  <c r="H80" i="6"/>
  <c r="L81" i="6"/>
  <c r="H82" i="6"/>
  <c r="L83" i="6"/>
  <c r="H84" i="6"/>
  <c r="L85" i="6"/>
  <c r="H86" i="6"/>
  <c r="L87" i="6"/>
  <c r="L95" i="6"/>
  <c r="L99" i="6"/>
  <c r="L71" i="6"/>
  <c r="L75" i="6"/>
  <c r="L77" i="6"/>
  <c r="L80" i="6"/>
  <c r="L82" i="6"/>
  <c r="L84" i="6"/>
  <c r="L86" i="6"/>
  <c r="H94" i="6"/>
  <c r="L94" i="6"/>
  <c r="J96" i="6"/>
  <c r="H98" i="6"/>
  <c r="L98" i="6"/>
  <c r="J100" i="6"/>
  <c r="L54" i="6"/>
  <c r="F6" i="32" s="1"/>
  <c r="L55" i="6"/>
  <c r="F7" i="36" s="1"/>
  <c r="H55" i="6"/>
  <c r="D7" i="32" s="1"/>
  <c r="L56" i="6"/>
  <c r="F8" i="36" s="1"/>
  <c r="H56" i="6"/>
  <c r="D8" i="36" s="1"/>
  <c r="L57" i="6"/>
  <c r="F9" i="32" s="1"/>
  <c r="H57" i="6"/>
  <c r="D9" i="36" s="1"/>
  <c r="L58" i="6"/>
  <c r="F10" i="32" s="1"/>
  <c r="H58" i="6"/>
  <c r="D10" i="32" s="1"/>
  <c r="L59" i="6"/>
  <c r="F11" i="36" s="1"/>
  <c r="H59" i="6"/>
  <c r="D11" i="36" s="1"/>
  <c r="L60" i="6"/>
  <c r="F12" i="36" s="1"/>
  <c r="H60" i="6"/>
  <c r="D12" i="32" s="1"/>
  <c r="L61" i="6"/>
  <c r="F13" i="32" s="1"/>
  <c r="H61" i="6"/>
  <c r="D13" i="34" s="1"/>
  <c r="J54" i="6"/>
  <c r="E6" i="32" s="1"/>
  <c r="J55" i="6"/>
  <c r="E7" i="34" s="1"/>
  <c r="J56" i="6"/>
  <c r="E8" i="34" s="1"/>
  <c r="J57" i="6"/>
  <c r="E9" i="34" s="1"/>
  <c r="J58" i="6"/>
  <c r="E10" i="32" s="1"/>
  <c r="J59" i="6"/>
  <c r="E11" i="32" s="1"/>
  <c r="J60" i="6"/>
  <c r="E12" i="36" s="1"/>
  <c r="J61" i="6"/>
  <c r="E13" i="32" s="1"/>
  <c r="J94" i="6"/>
  <c r="H96" i="6"/>
  <c r="L96" i="6"/>
  <c r="J98" i="6"/>
  <c r="H100" i="6"/>
  <c r="L100" i="6"/>
  <c r="J80" i="6"/>
  <c r="J82" i="6"/>
  <c r="J84" i="6"/>
  <c r="J86" i="6"/>
  <c r="E7" i="5"/>
  <c r="E8" i="52" l="1"/>
  <c r="R27" i="52" s="1"/>
  <c r="W29" i="52" s="1"/>
  <c r="N14" i="36"/>
  <c r="P6" i="36"/>
  <c r="P14" i="36" s="1"/>
  <c r="S49" i="36" s="1"/>
  <c r="X57" i="36" s="1"/>
  <c r="AB57" i="36" s="1"/>
  <c r="N10" i="51"/>
  <c r="P10" i="51" s="1"/>
  <c r="N14" i="53"/>
  <c r="P6" i="53"/>
  <c r="P14" i="53" s="1"/>
  <c r="S49" i="53" s="1"/>
  <c r="N14" i="33"/>
  <c r="P14" i="33"/>
  <c r="S49" i="33" s="1"/>
  <c r="N14" i="48"/>
  <c r="P6" i="48"/>
  <c r="P14" i="48" s="1"/>
  <c r="S49" i="48" s="1"/>
  <c r="P6" i="51"/>
  <c r="N14" i="35"/>
  <c r="P6" i="35"/>
  <c r="P14" i="35" s="1"/>
  <c r="S49" i="35" s="1"/>
  <c r="N14" i="31"/>
  <c r="P6" i="31"/>
  <c r="P14" i="31" s="1"/>
  <c r="S49" i="31" s="1"/>
  <c r="E8" i="29"/>
  <c r="R27" i="29" s="1"/>
  <c r="W24" i="29" s="1"/>
  <c r="W24" i="52"/>
  <c r="X29" i="52"/>
  <c r="AB29" i="52" s="1"/>
  <c r="X24" i="52"/>
  <c r="AB24" i="52" s="1"/>
  <c r="X29" i="30"/>
  <c r="X24" i="30"/>
  <c r="E8" i="30"/>
  <c r="R27" i="30" s="1"/>
  <c r="E8" i="47"/>
  <c r="R27" i="47" s="1"/>
  <c r="X24" i="47"/>
  <c r="X29" i="47"/>
  <c r="E8" i="50"/>
  <c r="R27" i="50" s="1"/>
  <c r="X24" i="50"/>
  <c r="X29" i="50"/>
  <c r="X24" i="29"/>
  <c r="X29" i="29"/>
  <c r="E8" i="28"/>
  <c r="R27" i="28" s="1"/>
  <c r="N14" i="34"/>
  <c r="P6" i="34"/>
  <c r="P14" i="34" s="1"/>
  <c r="S49" i="34" s="1"/>
  <c r="P14" i="32"/>
  <c r="S49" i="32" s="1"/>
  <c r="X57" i="32" s="1"/>
  <c r="AB57" i="32" s="1"/>
  <c r="N14" i="32"/>
  <c r="F21" i="32"/>
  <c r="F21" i="36"/>
  <c r="F30" i="36" s="1"/>
  <c r="F21" i="34"/>
  <c r="F19" i="32"/>
  <c r="F28" i="32" s="1"/>
  <c r="F19" i="36"/>
  <c r="F19" i="34"/>
  <c r="F17" i="36"/>
  <c r="F26" i="36" s="1"/>
  <c r="F17" i="34"/>
  <c r="F17" i="32"/>
  <c r="E17" i="32"/>
  <c r="E17" i="36"/>
  <c r="E17" i="34"/>
  <c r="E26" i="34" s="1"/>
  <c r="F15" i="32"/>
  <c r="F24" i="32" s="1"/>
  <c r="F15" i="36"/>
  <c r="F15" i="34"/>
  <c r="F20" i="32"/>
  <c r="F20" i="36"/>
  <c r="F29" i="36" s="1"/>
  <c r="F20" i="34"/>
  <c r="D13" i="36"/>
  <c r="D7" i="34"/>
  <c r="F8" i="34"/>
  <c r="E10" i="36"/>
  <c r="D12" i="34"/>
  <c r="F9" i="34"/>
  <c r="E11" i="34"/>
  <c r="F22" i="32"/>
  <c r="F31" i="32" s="1"/>
  <c r="F22" i="36"/>
  <c r="F22" i="34"/>
  <c r="D21" i="32"/>
  <c r="D30" i="32" s="1"/>
  <c r="D21" i="36"/>
  <c r="D21" i="34"/>
  <c r="E15" i="32"/>
  <c r="E24" i="32" s="1"/>
  <c r="E15" i="36"/>
  <c r="E15" i="34"/>
  <c r="D19" i="36"/>
  <c r="D19" i="34"/>
  <c r="D13" i="32"/>
  <c r="D7" i="36"/>
  <c r="F8" i="32"/>
  <c r="E8" i="36"/>
  <c r="D12" i="36"/>
  <c r="F9" i="36"/>
  <c r="E11" i="36"/>
  <c r="D11" i="32"/>
  <c r="E8" i="32"/>
  <c r="D10" i="34"/>
  <c r="F13" i="34"/>
  <c r="E9" i="36"/>
  <c r="D11" i="34"/>
  <c r="F12" i="32"/>
  <c r="F6" i="34"/>
  <c r="D10" i="36"/>
  <c r="F13" i="36"/>
  <c r="F7" i="34"/>
  <c r="E9" i="32"/>
  <c r="D17" i="34"/>
  <c r="D17" i="36"/>
  <c r="D26" i="36" s="1"/>
  <c r="D17" i="32"/>
  <c r="F16" i="34"/>
  <c r="F16" i="36"/>
  <c r="F25" i="36" s="1"/>
  <c r="F16" i="32"/>
  <c r="F12" i="34"/>
  <c r="F6" i="36"/>
  <c r="E12" i="32"/>
  <c r="E6" i="36"/>
  <c r="D8" i="32"/>
  <c r="D26" i="32" s="1"/>
  <c r="F7" i="32"/>
  <c r="E13" i="34"/>
  <c r="D15" i="32"/>
  <c r="D24" i="32" s="1"/>
  <c r="D15" i="34"/>
  <c r="D15" i="36"/>
  <c r="D18" i="34"/>
  <c r="D18" i="32"/>
  <c r="D18" i="36"/>
  <c r="D27" i="36" s="1"/>
  <c r="D9" i="32"/>
  <c r="E12" i="34"/>
  <c r="E6" i="34"/>
  <c r="D8" i="34"/>
  <c r="F11" i="32"/>
  <c r="E13" i="36"/>
  <c r="E7" i="36"/>
  <c r="E21" i="32"/>
  <c r="E21" i="36"/>
  <c r="E30" i="36" s="1"/>
  <c r="E21" i="34"/>
  <c r="D9" i="34"/>
  <c r="F10" i="34"/>
  <c r="F28" i="34" s="1"/>
  <c r="F11" i="34"/>
  <c r="E7" i="32"/>
  <c r="E19" i="36"/>
  <c r="E19" i="34"/>
  <c r="F10" i="36"/>
  <c r="E10" i="34"/>
  <c r="E19" i="32"/>
  <c r="E28" i="32" s="1"/>
  <c r="D19" i="32"/>
  <c r="D28" i="32" s="1"/>
  <c r="I135" i="6"/>
  <c r="M134" i="6"/>
  <c r="M135" i="6" s="1"/>
  <c r="I137" i="6"/>
  <c r="E21" i="38"/>
  <c r="E21" i="39"/>
  <c r="E21" i="40"/>
  <c r="G20" i="32"/>
  <c r="G29" i="32" s="1"/>
  <c r="N29" i="32" s="1"/>
  <c r="P29" i="32" s="1"/>
  <c r="G20" i="36"/>
  <c r="G29" i="36" s="1"/>
  <c r="N29" i="36" s="1"/>
  <c r="P29" i="36" s="1"/>
  <c r="G20" i="34"/>
  <c r="G29" i="34" s="1"/>
  <c r="N29" i="34" s="1"/>
  <c r="P29" i="34" s="1"/>
  <c r="G17" i="35"/>
  <c r="G26" i="35" s="1"/>
  <c r="N26" i="35" s="1"/>
  <c r="P26" i="35" s="1"/>
  <c r="G17" i="53"/>
  <c r="G26" i="53" s="1"/>
  <c r="N26" i="53" s="1"/>
  <c r="P26" i="53" s="1"/>
  <c r="G15" i="32"/>
  <c r="G24" i="32" s="1"/>
  <c r="G15" i="36"/>
  <c r="G24" i="36" s="1"/>
  <c r="G15" i="34"/>
  <c r="G24" i="34" s="1"/>
  <c r="E19" i="38"/>
  <c r="E19" i="39"/>
  <c r="E19" i="40"/>
  <c r="D19" i="38"/>
  <c r="D19" i="40"/>
  <c r="D19" i="39"/>
  <c r="G18" i="53"/>
  <c r="G27" i="53" s="1"/>
  <c r="N27" i="53" s="1"/>
  <c r="P27" i="53" s="1"/>
  <c r="G18" i="35"/>
  <c r="G27" i="35" s="1"/>
  <c r="N27" i="35" s="1"/>
  <c r="P27" i="35" s="1"/>
  <c r="G16" i="35"/>
  <c r="G25" i="35" s="1"/>
  <c r="N25" i="35" s="1"/>
  <c r="P25" i="35" s="1"/>
  <c r="G16" i="53"/>
  <c r="G25" i="53" s="1"/>
  <c r="N25" i="53" s="1"/>
  <c r="P25" i="53" s="1"/>
  <c r="G22" i="32"/>
  <c r="G31" i="32" s="1"/>
  <c r="N31" i="32" s="1"/>
  <c r="P31" i="32" s="1"/>
  <c r="G22" i="36"/>
  <c r="G31" i="36" s="1"/>
  <c r="N31" i="36" s="1"/>
  <c r="P31" i="36" s="1"/>
  <c r="G22" i="34"/>
  <c r="G31" i="34" s="1"/>
  <c r="N31" i="34" s="1"/>
  <c r="P31" i="34" s="1"/>
  <c r="X21" i="52"/>
  <c r="AB21" i="52" s="1"/>
  <c r="X20" i="52"/>
  <c r="X22" i="52"/>
  <c r="AB22" i="52" s="1"/>
  <c r="X23" i="52"/>
  <c r="AB23" i="52" s="1"/>
  <c r="X25" i="52"/>
  <c r="AB25" i="52" s="1"/>
  <c r="X26" i="52"/>
  <c r="AB26" i="52" s="1"/>
  <c r="X27" i="52"/>
  <c r="AB27" i="52" s="1"/>
  <c r="X28" i="52"/>
  <c r="AB28" i="52" s="1"/>
  <c r="X30" i="52"/>
  <c r="X31" i="52"/>
  <c r="E15" i="38"/>
  <c r="E15" i="39"/>
  <c r="E15" i="40"/>
  <c r="F21" i="38"/>
  <c r="F21" i="39"/>
  <c r="F21" i="40"/>
  <c r="E17" i="38"/>
  <c r="E17" i="39"/>
  <c r="E17" i="40"/>
  <c r="F19" i="38"/>
  <c r="F19" i="39"/>
  <c r="F19" i="40"/>
  <c r="D18" i="38"/>
  <c r="D18" i="40"/>
  <c r="D18" i="39"/>
  <c r="G21" i="32"/>
  <c r="G30" i="32" s="1"/>
  <c r="N30" i="32" s="1"/>
  <c r="P30" i="32" s="1"/>
  <c r="G21" i="36"/>
  <c r="G30" i="36" s="1"/>
  <c r="N30" i="36" s="1"/>
  <c r="P30" i="36" s="1"/>
  <c r="G21" i="34"/>
  <c r="G30" i="34" s="1"/>
  <c r="N30" i="34" s="1"/>
  <c r="P30" i="34" s="1"/>
  <c r="D21" i="38"/>
  <c r="D21" i="40"/>
  <c r="D21" i="39"/>
  <c r="F15" i="38"/>
  <c r="F15" i="40"/>
  <c r="F15" i="39"/>
  <c r="F22" i="38"/>
  <c r="F22" i="40"/>
  <c r="F22" i="39"/>
  <c r="G19" i="32"/>
  <c r="G28" i="32" s="1"/>
  <c r="N28" i="32" s="1"/>
  <c r="P28" i="32" s="1"/>
  <c r="G19" i="36"/>
  <c r="G28" i="36" s="1"/>
  <c r="N28" i="36" s="1"/>
  <c r="P28" i="36" s="1"/>
  <c r="G19" i="34"/>
  <c r="G28" i="34" s="1"/>
  <c r="N28" i="34" s="1"/>
  <c r="P28" i="34" s="1"/>
  <c r="G22" i="53"/>
  <c r="G31" i="53" s="1"/>
  <c r="N31" i="53" s="1"/>
  <c r="P31" i="53" s="1"/>
  <c r="G22" i="35"/>
  <c r="G31" i="35" s="1"/>
  <c r="N31" i="35" s="1"/>
  <c r="P31" i="35" s="1"/>
  <c r="F20" i="38"/>
  <c r="F20" i="40"/>
  <c r="F20" i="39"/>
  <c r="G21" i="53"/>
  <c r="G30" i="53" s="1"/>
  <c r="N30" i="53" s="1"/>
  <c r="P30" i="53" s="1"/>
  <c r="G21" i="35"/>
  <c r="G30" i="35" s="1"/>
  <c r="N30" i="35" s="1"/>
  <c r="P30" i="35" s="1"/>
  <c r="F17" i="38"/>
  <c r="F17" i="40"/>
  <c r="F17" i="39"/>
  <c r="F16" i="38"/>
  <c r="F16" i="40"/>
  <c r="F16" i="39"/>
  <c r="G17" i="32"/>
  <c r="G26" i="32" s="1"/>
  <c r="N26" i="32" s="1"/>
  <c r="P26" i="32" s="1"/>
  <c r="G17" i="36"/>
  <c r="G26" i="36" s="1"/>
  <c r="N26" i="36" s="1"/>
  <c r="P26" i="36" s="1"/>
  <c r="G17" i="34"/>
  <c r="G26" i="34" s="1"/>
  <c r="N26" i="34" s="1"/>
  <c r="P26" i="34" s="1"/>
  <c r="G20" i="53"/>
  <c r="G29" i="53" s="1"/>
  <c r="N29" i="53" s="1"/>
  <c r="P29" i="53" s="1"/>
  <c r="G20" i="35"/>
  <c r="G29" i="35" s="1"/>
  <c r="N29" i="35" s="1"/>
  <c r="P29" i="35" s="1"/>
  <c r="D15" i="38"/>
  <c r="D24" i="38" s="1"/>
  <c r="D15" i="40"/>
  <c r="D15" i="39"/>
  <c r="D24" i="39" s="1"/>
  <c r="G18" i="32"/>
  <c r="G27" i="32" s="1"/>
  <c r="N27" i="32" s="1"/>
  <c r="P27" i="32" s="1"/>
  <c r="G18" i="34"/>
  <c r="G27" i="34" s="1"/>
  <c r="N27" i="34" s="1"/>
  <c r="P27" i="34" s="1"/>
  <c r="G18" i="36"/>
  <c r="G27" i="36" s="1"/>
  <c r="N27" i="36" s="1"/>
  <c r="P27" i="36" s="1"/>
  <c r="D17" i="38"/>
  <c r="D17" i="40"/>
  <c r="D17" i="39"/>
  <c r="G16" i="32"/>
  <c r="G25" i="32" s="1"/>
  <c r="N25" i="32" s="1"/>
  <c r="P25" i="32" s="1"/>
  <c r="G16" i="34"/>
  <c r="G25" i="34" s="1"/>
  <c r="N25" i="34" s="1"/>
  <c r="P25" i="34" s="1"/>
  <c r="G16" i="36"/>
  <c r="G25" i="36" s="1"/>
  <c r="N25" i="36" s="1"/>
  <c r="P25" i="36" s="1"/>
  <c r="G19" i="53"/>
  <c r="G28" i="53" s="1"/>
  <c r="N28" i="53" s="1"/>
  <c r="P28" i="53" s="1"/>
  <c r="G19" i="35"/>
  <c r="G28" i="35" s="1"/>
  <c r="N28" i="35" s="1"/>
  <c r="P28" i="35" s="1"/>
  <c r="G15" i="35"/>
  <c r="G24" i="35" s="1"/>
  <c r="G15" i="53"/>
  <c r="G9" i="30"/>
  <c r="G10" i="30" s="1"/>
  <c r="G11" i="30" s="1"/>
  <c r="G13" i="30" s="1"/>
  <c r="D20" i="30" s="1"/>
  <c r="G9" i="52"/>
  <c r="G10" i="52" s="1"/>
  <c r="G11" i="52" s="1"/>
  <c r="G13" i="52" s="1"/>
  <c r="D20" i="52" s="1"/>
  <c r="E28" i="53"/>
  <c r="E28" i="35"/>
  <c r="F21" i="35"/>
  <c r="F30" i="35" s="1"/>
  <c r="F21" i="53"/>
  <c r="F30" i="53" s="1"/>
  <c r="D22" i="35"/>
  <c r="D31" i="35" s="1"/>
  <c r="D22" i="53"/>
  <c r="D31" i="53" s="1"/>
  <c r="E9" i="52"/>
  <c r="E10" i="52" s="1"/>
  <c r="E9" i="30"/>
  <c r="E10" i="30" s="1"/>
  <c r="Z30" i="52"/>
  <c r="F9" i="38"/>
  <c r="F9" i="39"/>
  <c r="F9" i="40"/>
  <c r="D8" i="38"/>
  <c r="D8" i="39"/>
  <c r="D8" i="40"/>
  <c r="F19" i="53"/>
  <c r="F19" i="35"/>
  <c r="F18" i="53"/>
  <c r="F18" i="35"/>
  <c r="E14" i="35"/>
  <c r="D12" i="38"/>
  <c r="D12" i="39"/>
  <c r="D12" i="40"/>
  <c r="F8" i="38"/>
  <c r="F8" i="39"/>
  <c r="F8" i="40"/>
  <c r="F15" i="53"/>
  <c r="F15" i="35"/>
  <c r="D17" i="53"/>
  <c r="D17" i="35"/>
  <c r="D12" i="35"/>
  <c r="D12" i="53"/>
  <c r="E14" i="53"/>
  <c r="G14" i="36"/>
  <c r="F13" i="38"/>
  <c r="F13" i="39"/>
  <c r="F13" i="40"/>
  <c r="D19" i="53"/>
  <c r="D19" i="35"/>
  <c r="E11" i="38"/>
  <c r="E11" i="39"/>
  <c r="E11" i="40"/>
  <c r="E10" i="38"/>
  <c r="E10" i="39"/>
  <c r="E10" i="40"/>
  <c r="F12" i="38"/>
  <c r="F12" i="40"/>
  <c r="F12" i="39"/>
  <c r="E9" i="38"/>
  <c r="E9" i="40"/>
  <c r="E9" i="39"/>
  <c r="D11" i="38"/>
  <c r="D11" i="39"/>
  <c r="D11" i="40"/>
  <c r="D7" i="38"/>
  <c r="D7" i="39"/>
  <c r="D7" i="40"/>
  <c r="F16" i="53"/>
  <c r="F25" i="53" s="1"/>
  <c r="F16" i="35"/>
  <c r="F25" i="35" s="1"/>
  <c r="E20" i="35"/>
  <c r="E29" i="35" s="1"/>
  <c r="E20" i="53"/>
  <c r="E29" i="53" s="1"/>
  <c r="F10" i="35"/>
  <c r="F10" i="53"/>
  <c r="E17" i="35"/>
  <c r="E26" i="35" s="1"/>
  <c r="E17" i="53"/>
  <c r="E26" i="53" s="1"/>
  <c r="D6" i="35"/>
  <c r="D6" i="53"/>
  <c r="K30" i="52"/>
  <c r="G14" i="34"/>
  <c r="D15" i="53"/>
  <c r="D15" i="35"/>
  <c r="E22" i="35"/>
  <c r="E31" i="35" s="1"/>
  <c r="E22" i="53"/>
  <c r="E31" i="53" s="1"/>
  <c r="F9" i="51"/>
  <c r="F9" i="53"/>
  <c r="F9" i="35"/>
  <c r="G14" i="53"/>
  <c r="E12" i="38"/>
  <c r="E12" i="40"/>
  <c r="E12" i="39"/>
  <c r="F11" i="38"/>
  <c r="F11" i="40"/>
  <c r="F11" i="39"/>
  <c r="D10" i="38"/>
  <c r="D10" i="39"/>
  <c r="D10" i="40"/>
  <c r="F22" i="35"/>
  <c r="F22" i="53"/>
  <c r="F9" i="30"/>
  <c r="F10" i="30" s="1"/>
  <c r="F9" i="52"/>
  <c r="F10" i="52" s="1"/>
  <c r="D20" i="35"/>
  <c r="D20" i="53"/>
  <c r="D8" i="35"/>
  <c r="D8" i="53"/>
  <c r="E15" i="53"/>
  <c r="E15" i="35"/>
  <c r="E30" i="53"/>
  <c r="G14" i="35"/>
  <c r="F7" i="38"/>
  <c r="F7" i="40"/>
  <c r="F7" i="39"/>
  <c r="E7" i="38"/>
  <c r="E7" i="39"/>
  <c r="E7" i="40"/>
  <c r="E6" i="38"/>
  <c r="E6" i="39"/>
  <c r="E6" i="40"/>
  <c r="F10" i="38"/>
  <c r="F10" i="39"/>
  <c r="F10" i="40"/>
  <c r="D21" i="53"/>
  <c r="D21" i="35"/>
  <c r="D9" i="30"/>
  <c r="D10" i="30" s="1"/>
  <c r="D9" i="52"/>
  <c r="D10" i="52" s="1"/>
  <c r="F17" i="53"/>
  <c r="F17" i="35"/>
  <c r="D18" i="53"/>
  <c r="D27" i="53" s="1"/>
  <c r="D18" i="35"/>
  <c r="D27" i="35" s="1"/>
  <c r="D10" i="35"/>
  <c r="D10" i="53"/>
  <c r="F6" i="35"/>
  <c r="F6" i="53"/>
  <c r="D11" i="53"/>
  <c r="D11" i="35"/>
  <c r="F8" i="53"/>
  <c r="F8" i="35"/>
  <c r="E30" i="35"/>
  <c r="E8" i="38"/>
  <c r="E8" i="39"/>
  <c r="E8" i="40"/>
  <c r="F6" i="38"/>
  <c r="F6" i="39"/>
  <c r="F6" i="40"/>
  <c r="E13" i="38"/>
  <c r="E13" i="39"/>
  <c r="E13" i="40"/>
  <c r="D13" i="38"/>
  <c r="D13" i="39"/>
  <c r="D13" i="40"/>
  <c r="D9" i="38"/>
  <c r="D9" i="40"/>
  <c r="D9" i="39"/>
  <c r="F20" i="35"/>
  <c r="F29" i="35" s="1"/>
  <c r="F20" i="53"/>
  <c r="F29" i="53" s="1"/>
  <c r="D16" i="53"/>
  <c r="D25" i="53" s="1"/>
  <c r="D16" i="35"/>
  <c r="D25" i="35" s="1"/>
  <c r="E18" i="53"/>
  <c r="E27" i="53" s="1"/>
  <c r="E18" i="35"/>
  <c r="E27" i="35" s="1"/>
  <c r="E16" i="53"/>
  <c r="E25" i="53" s="1"/>
  <c r="E16" i="35"/>
  <c r="E25" i="35" s="1"/>
  <c r="F13" i="35"/>
  <c r="F13" i="53"/>
  <c r="F9" i="33"/>
  <c r="G20" i="48"/>
  <c r="G29" i="48" s="1"/>
  <c r="N29" i="48" s="1"/>
  <c r="P29" i="48" s="1"/>
  <c r="G20" i="33"/>
  <c r="G29" i="33" s="1"/>
  <c r="N29" i="33" s="1"/>
  <c r="P29" i="33" s="1"/>
  <c r="G20" i="51"/>
  <c r="G29" i="51" s="1"/>
  <c r="N29" i="51" s="1"/>
  <c r="P29" i="51" s="1"/>
  <c r="G21" i="48"/>
  <c r="G30" i="48" s="1"/>
  <c r="N30" i="48" s="1"/>
  <c r="P30" i="48" s="1"/>
  <c r="G21" i="33"/>
  <c r="G30" i="33" s="1"/>
  <c r="N30" i="33" s="1"/>
  <c r="P30" i="33" s="1"/>
  <c r="G21" i="51"/>
  <c r="G30" i="51" s="1"/>
  <c r="N30" i="51" s="1"/>
  <c r="P30" i="51" s="1"/>
  <c r="G19" i="48"/>
  <c r="G28" i="48" s="1"/>
  <c r="N28" i="48" s="1"/>
  <c r="P28" i="48" s="1"/>
  <c r="G19" i="51"/>
  <c r="G19" i="33"/>
  <c r="G28" i="33" s="1"/>
  <c r="N28" i="33" s="1"/>
  <c r="P28" i="33" s="1"/>
  <c r="G9" i="29"/>
  <c r="G10" i="29" s="1"/>
  <c r="G11" i="29" s="1"/>
  <c r="G13" i="29" s="1"/>
  <c r="D20" i="29" s="1"/>
  <c r="I29" i="29" s="1"/>
  <c r="G9" i="50"/>
  <c r="G10" i="50" s="1"/>
  <c r="G11" i="50" s="1"/>
  <c r="G13" i="50" s="1"/>
  <c r="D20" i="50" s="1"/>
  <c r="G17" i="48"/>
  <c r="G26" i="48" s="1"/>
  <c r="N26" i="48" s="1"/>
  <c r="P26" i="48" s="1"/>
  <c r="G17" i="51"/>
  <c r="G26" i="51" s="1"/>
  <c r="N26" i="51" s="1"/>
  <c r="P26" i="51" s="1"/>
  <c r="G17" i="33"/>
  <c r="G26" i="33" s="1"/>
  <c r="N26" i="33" s="1"/>
  <c r="P26" i="33" s="1"/>
  <c r="G18" i="48"/>
  <c r="G27" i="48" s="1"/>
  <c r="N27" i="48" s="1"/>
  <c r="P27" i="48" s="1"/>
  <c r="G18" i="51"/>
  <c r="G27" i="51" s="1"/>
  <c r="N27" i="51" s="1"/>
  <c r="P27" i="51" s="1"/>
  <c r="G18" i="33"/>
  <c r="G27" i="33" s="1"/>
  <c r="N27" i="33" s="1"/>
  <c r="P27" i="33" s="1"/>
  <c r="G16" i="48"/>
  <c r="G25" i="48" s="1"/>
  <c r="N25" i="48" s="1"/>
  <c r="P25" i="48" s="1"/>
  <c r="G16" i="33"/>
  <c r="G25" i="33" s="1"/>
  <c r="N25" i="33" s="1"/>
  <c r="P25" i="33" s="1"/>
  <c r="G16" i="51"/>
  <c r="G25" i="51" s="1"/>
  <c r="N25" i="51" s="1"/>
  <c r="P25" i="51" s="1"/>
  <c r="G22" i="48"/>
  <c r="G31" i="48" s="1"/>
  <c r="N31" i="48" s="1"/>
  <c r="P31" i="48" s="1"/>
  <c r="G22" i="33"/>
  <c r="G31" i="33" s="1"/>
  <c r="N31" i="33" s="1"/>
  <c r="P31" i="33" s="1"/>
  <c r="G22" i="51"/>
  <c r="G31" i="51" s="1"/>
  <c r="N31" i="51" s="1"/>
  <c r="P31" i="51" s="1"/>
  <c r="G15" i="48"/>
  <c r="G15" i="33"/>
  <c r="G24" i="33" s="1"/>
  <c r="G15" i="51"/>
  <c r="G24" i="51" s="1"/>
  <c r="F9" i="48"/>
  <c r="E28" i="51"/>
  <c r="K30" i="50"/>
  <c r="Z30" i="50"/>
  <c r="X51" i="39"/>
  <c r="AB51" i="39" s="1"/>
  <c r="AB53" i="38"/>
  <c r="F16" i="48"/>
  <c r="F25" i="48" s="1"/>
  <c r="F16" i="51"/>
  <c r="F25" i="51" s="1"/>
  <c r="F16" i="33"/>
  <c r="F25" i="33" s="1"/>
  <c r="E20" i="48"/>
  <c r="E29" i="48" s="1"/>
  <c r="E20" i="51"/>
  <c r="E29" i="51" s="1"/>
  <c r="E20" i="33"/>
  <c r="E29" i="33" s="1"/>
  <c r="F10" i="51"/>
  <c r="F10" i="33"/>
  <c r="E17" i="48"/>
  <c r="E26" i="48" s="1"/>
  <c r="E17" i="51"/>
  <c r="E26" i="51" s="1"/>
  <c r="E17" i="33"/>
  <c r="E26" i="33" s="1"/>
  <c r="AB53" i="40"/>
  <c r="F13" i="51"/>
  <c r="F13" i="33"/>
  <c r="D15" i="48"/>
  <c r="D15" i="51"/>
  <c r="D15" i="33"/>
  <c r="E22" i="48"/>
  <c r="E31" i="48" s="1"/>
  <c r="E22" i="51"/>
  <c r="E31" i="51" s="1"/>
  <c r="E22" i="33"/>
  <c r="E31" i="33" s="1"/>
  <c r="G14" i="33"/>
  <c r="F22" i="48"/>
  <c r="F22" i="33"/>
  <c r="F22" i="51"/>
  <c r="F9" i="29"/>
  <c r="F10" i="29" s="1"/>
  <c r="F9" i="50"/>
  <c r="F10" i="50" s="1"/>
  <c r="D20" i="48"/>
  <c r="D20" i="51"/>
  <c r="D20" i="33"/>
  <c r="D8" i="51"/>
  <c r="D8" i="33"/>
  <c r="E15" i="48"/>
  <c r="E15" i="51"/>
  <c r="E24" i="51" s="1"/>
  <c r="E15" i="33"/>
  <c r="E24" i="33" s="1"/>
  <c r="G14" i="51"/>
  <c r="E30" i="33"/>
  <c r="D21" i="48"/>
  <c r="D21" i="33"/>
  <c r="D21" i="51"/>
  <c r="D9" i="29"/>
  <c r="D10" i="29" s="1"/>
  <c r="D9" i="50"/>
  <c r="D10" i="50" s="1"/>
  <c r="F17" i="48"/>
  <c r="F17" i="51"/>
  <c r="F17" i="33"/>
  <c r="D18" i="48"/>
  <c r="D27" i="48" s="1"/>
  <c r="D18" i="51"/>
  <c r="D27" i="51" s="1"/>
  <c r="D18" i="33"/>
  <c r="D27" i="33" s="1"/>
  <c r="D10" i="51"/>
  <c r="D10" i="33"/>
  <c r="F6" i="51"/>
  <c r="F6" i="33"/>
  <c r="D11" i="51"/>
  <c r="D11" i="33"/>
  <c r="F8" i="51"/>
  <c r="F8" i="33"/>
  <c r="D12" i="51"/>
  <c r="D12" i="33"/>
  <c r="E30" i="51"/>
  <c r="F20" i="48"/>
  <c r="F29" i="48" s="1"/>
  <c r="F20" i="33"/>
  <c r="F29" i="33" s="1"/>
  <c r="F20" i="51"/>
  <c r="F29" i="51" s="1"/>
  <c r="D16" i="48"/>
  <c r="D25" i="48" s="1"/>
  <c r="D16" i="51"/>
  <c r="D25" i="51" s="1"/>
  <c r="D16" i="33"/>
  <c r="D25" i="33" s="1"/>
  <c r="E18" i="48"/>
  <c r="E27" i="48" s="1"/>
  <c r="E18" i="51"/>
  <c r="E27" i="51" s="1"/>
  <c r="E18" i="33"/>
  <c r="E27" i="33" s="1"/>
  <c r="E16" i="48"/>
  <c r="E25" i="48" s="1"/>
  <c r="E16" i="51"/>
  <c r="E25" i="51" s="1"/>
  <c r="E16" i="33"/>
  <c r="E25" i="33" s="1"/>
  <c r="D6" i="51"/>
  <c r="D6" i="33"/>
  <c r="F21" i="48"/>
  <c r="F30" i="48" s="1"/>
  <c r="F21" i="51"/>
  <c r="F30" i="51" s="1"/>
  <c r="F21" i="33"/>
  <c r="F30" i="33" s="1"/>
  <c r="D19" i="48"/>
  <c r="D19" i="33"/>
  <c r="D19" i="51"/>
  <c r="D22" i="48"/>
  <c r="D31" i="48" s="1"/>
  <c r="D22" i="51"/>
  <c r="D31" i="51" s="1"/>
  <c r="D22" i="33"/>
  <c r="D31" i="33" s="1"/>
  <c r="E9" i="29"/>
  <c r="E10" i="29" s="1"/>
  <c r="E9" i="50"/>
  <c r="E10" i="50" s="1"/>
  <c r="E28" i="33"/>
  <c r="E14" i="33"/>
  <c r="F19" i="48"/>
  <c r="F19" i="51"/>
  <c r="F19" i="33"/>
  <c r="F18" i="48"/>
  <c r="F18" i="51"/>
  <c r="F18" i="33"/>
  <c r="E14" i="51"/>
  <c r="F15" i="48"/>
  <c r="F15" i="51"/>
  <c r="F15" i="33"/>
  <c r="D17" i="48"/>
  <c r="D17" i="33"/>
  <c r="D17" i="51"/>
  <c r="G14" i="32"/>
  <c r="F18" i="31"/>
  <c r="F27" i="31" s="1"/>
  <c r="D21" i="31"/>
  <c r="F17" i="31"/>
  <c r="D18" i="31"/>
  <c r="D27" i="31" s="1"/>
  <c r="D10" i="31"/>
  <c r="D10" i="48"/>
  <c r="F6" i="31"/>
  <c r="F6" i="48"/>
  <c r="D11" i="48"/>
  <c r="D11" i="31"/>
  <c r="D16" i="31"/>
  <c r="D25" i="31" s="1"/>
  <c r="G17" i="31"/>
  <c r="G26" i="31" s="1"/>
  <c r="N26" i="31" s="1"/>
  <c r="P26" i="31" s="1"/>
  <c r="E18" i="31"/>
  <c r="E27" i="31" s="1"/>
  <c r="E16" i="31"/>
  <c r="E25" i="31" s="1"/>
  <c r="F13" i="31"/>
  <c r="F13" i="48"/>
  <c r="F20" i="31"/>
  <c r="F29" i="31" s="1"/>
  <c r="F21" i="31"/>
  <c r="F30" i="31" s="1"/>
  <c r="D19" i="31"/>
  <c r="D22" i="31"/>
  <c r="D31" i="31" s="1"/>
  <c r="G18" i="31"/>
  <c r="G27" i="31" s="1"/>
  <c r="N27" i="31" s="1"/>
  <c r="P27" i="31" s="1"/>
  <c r="M163" i="6"/>
  <c r="M165" i="6" s="1"/>
  <c r="M166" i="6" s="1"/>
  <c r="G16" i="31"/>
  <c r="G25" i="31" s="1"/>
  <c r="N25" i="31" s="1"/>
  <c r="P25" i="31" s="1"/>
  <c r="F8" i="31"/>
  <c r="F8" i="48"/>
  <c r="G14" i="48"/>
  <c r="G14" i="31"/>
  <c r="F15" i="31"/>
  <c r="D17" i="31"/>
  <c r="G22" i="31"/>
  <c r="G31" i="31" s="1"/>
  <c r="N31" i="31" s="1"/>
  <c r="P31" i="31" s="1"/>
  <c r="D12" i="31"/>
  <c r="D12" i="48"/>
  <c r="E14" i="48"/>
  <c r="E30" i="31"/>
  <c r="G15" i="31"/>
  <c r="F16" i="31"/>
  <c r="F25" i="31" s="1"/>
  <c r="G21" i="31"/>
  <c r="G30" i="31" s="1"/>
  <c r="N30" i="31" s="1"/>
  <c r="P30" i="31" s="1"/>
  <c r="E20" i="31"/>
  <c r="E29" i="31" s="1"/>
  <c r="F10" i="31"/>
  <c r="F10" i="48"/>
  <c r="E17" i="31"/>
  <c r="E26" i="31" s="1"/>
  <c r="D6" i="48"/>
  <c r="D6" i="31"/>
  <c r="E14" i="31"/>
  <c r="E30" i="48"/>
  <c r="F19" i="31"/>
  <c r="D15" i="31"/>
  <c r="G20" i="31"/>
  <c r="G29" i="31" s="1"/>
  <c r="N29" i="31" s="1"/>
  <c r="P29" i="31" s="1"/>
  <c r="E22" i="31"/>
  <c r="E31" i="31" s="1"/>
  <c r="E28" i="31"/>
  <c r="F22" i="31"/>
  <c r="D20" i="31"/>
  <c r="G19" i="31"/>
  <c r="G28" i="31" s="1"/>
  <c r="N28" i="31" s="1"/>
  <c r="P28" i="31" s="1"/>
  <c r="D8" i="31"/>
  <c r="D8" i="48"/>
  <c r="E15" i="31"/>
  <c r="E28" i="48"/>
  <c r="I126" i="6"/>
  <c r="I123" i="6"/>
  <c r="I124" i="6" s="1"/>
  <c r="E9" i="47"/>
  <c r="E10" i="47" s="1"/>
  <c r="E9" i="28"/>
  <c r="E10" i="28" s="1"/>
  <c r="K123" i="6"/>
  <c r="K124" i="6" s="1"/>
  <c r="F9" i="28"/>
  <c r="F10" i="28" s="1"/>
  <c r="F9" i="47"/>
  <c r="F10" i="47" s="1"/>
  <c r="G123" i="6"/>
  <c r="G124" i="6" s="1"/>
  <c r="D9" i="47"/>
  <c r="D10" i="47" s="1"/>
  <c r="D9" i="28"/>
  <c r="D10" i="28" s="1"/>
  <c r="S6" i="41"/>
  <c r="M123" i="6"/>
  <c r="Q127" i="6" s="1"/>
  <c r="G9" i="47"/>
  <c r="G10" i="47" s="1"/>
  <c r="G11" i="47" s="1"/>
  <c r="G13" i="47" s="1"/>
  <c r="D20" i="47" s="1"/>
  <c r="G9" i="28"/>
  <c r="G10" i="28" s="1"/>
  <c r="G11" i="28" s="1"/>
  <c r="G13" i="28" s="1"/>
  <c r="D20" i="28" s="1"/>
  <c r="Q79" i="6"/>
  <c r="M144" i="6" s="1"/>
  <c r="J79" i="6"/>
  <c r="I144" i="6" s="1"/>
  <c r="Q49" i="6"/>
  <c r="Q63" i="6" s="1"/>
  <c r="M109" i="6" s="1"/>
  <c r="Q113" i="6" s="1"/>
  <c r="L39" i="6"/>
  <c r="K143" i="6" s="1"/>
  <c r="H79" i="6"/>
  <c r="G144" i="6" s="1"/>
  <c r="L79" i="6"/>
  <c r="K144" i="6" s="1"/>
  <c r="H39" i="6"/>
  <c r="G143" i="6" s="1"/>
  <c r="J49" i="6"/>
  <c r="J88" i="6"/>
  <c r="Q88" i="6"/>
  <c r="L88" i="6"/>
  <c r="H88" i="6"/>
  <c r="E59" i="36"/>
  <c r="T59" i="32"/>
  <c r="E59" i="34"/>
  <c r="E59" i="32"/>
  <c r="T59" i="34"/>
  <c r="T59" i="36"/>
  <c r="Q147" i="6"/>
  <c r="Y16" i="4"/>
  <c r="T16" i="4"/>
  <c r="Y16" i="5"/>
  <c r="T16" i="5"/>
  <c r="I83" i="19"/>
  <c r="K83" i="19"/>
  <c r="G83" i="19"/>
  <c r="L97" i="6"/>
  <c r="F18" i="32" s="1"/>
  <c r="F27" i="32" s="1"/>
  <c r="J95" i="6"/>
  <c r="H62" i="6"/>
  <c r="G163" i="6" s="1"/>
  <c r="L62" i="6"/>
  <c r="K163" i="6" s="1"/>
  <c r="J62" i="6"/>
  <c r="I163" i="6" s="1"/>
  <c r="H99" i="6"/>
  <c r="D20" i="36" s="1"/>
  <c r="D29" i="36" s="1"/>
  <c r="J101" i="6"/>
  <c r="H101" i="6"/>
  <c r="D22" i="34" s="1"/>
  <c r="D31" i="34" s="1"/>
  <c r="J97" i="6"/>
  <c r="H95" i="6"/>
  <c r="D16" i="32" s="1"/>
  <c r="D25" i="32" s="1"/>
  <c r="J99" i="6"/>
  <c r="D27" i="32" l="1"/>
  <c r="F28" i="36"/>
  <c r="F25" i="32"/>
  <c r="F25" i="34"/>
  <c r="F29" i="34"/>
  <c r="F31" i="34"/>
  <c r="E26" i="32"/>
  <c r="D30" i="34"/>
  <c r="P14" i="51"/>
  <c r="S49" i="51" s="1"/>
  <c r="X58" i="51" s="1"/>
  <c r="F30" i="32"/>
  <c r="N14" i="51"/>
  <c r="X53" i="34"/>
  <c r="AB53" i="34" s="1"/>
  <c r="X54" i="34"/>
  <c r="AB54" i="34" s="1"/>
  <c r="E14" i="34"/>
  <c r="X52" i="34"/>
  <c r="AB52" i="34" s="1"/>
  <c r="X58" i="36"/>
  <c r="AB58" i="36" s="1"/>
  <c r="X53" i="36"/>
  <c r="AB53" i="36" s="1"/>
  <c r="F24" i="34"/>
  <c r="F31" i="36"/>
  <c r="F14" i="36"/>
  <c r="F30" i="34"/>
  <c r="D30" i="36"/>
  <c r="D28" i="36"/>
  <c r="W29" i="29"/>
  <c r="E28" i="36"/>
  <c r="D14" i="32"/>
  <c r="F31" i="35"/>
  <c r="X58" i="53"/>
  <c r="AB58" i="53" s="1"/>
  <c r="X53" i="53"/>
  <c r="AB53" i="53" s="1"/>
  <c r="G28" i="51"/>
  <c r="N28" i="51" s="1"/>
  <c r="P28" i="51" s="1"/>
  <c r="X58" i="35"/>
  <c r="X53" i="35"/>
  <c r="X53" i="31"/>
  <c r="X58" i="31"/>
  <c r="X53" i="48"/>
  <c r="X58" i="48"/>
  <c r="W24" i="30"/>
  <c r="W29" i="30"/>
  <c r="X56" i="34"/>
  <c r="AB56" i="34" s="1"/>
  <c r="X55" i="34"/>
  <c r="AB55" i="34" s="1"/>
  <c r="X58" i="34"/>
  <c r="AB58" i="34" s="1"/>
  <c r="X51" i="34"/>
  <c r="AB51" i="34" s="1"/>
  <c r="X50" i="34"/>
  <c r="AB50" i="34" s="1"/>
  <c r="X49" i="34"/>
  <c r="AB49" i="34" s="1"/>
  <c r="W24" i="50"/>
  <c r="W29" i="50"/>
  <c r="W24" i="47"/>
  <c r="W29" i="47"/>
  <c r="E14" i="32"/>
  <c r="F24" i="36"/>
  <c r="X57" i="34"/>
  <c r="AB57" i="34" s="1"/>
  <c r="E26" i="40"/>
  <c r="D28" i="34"/>
  <c r="D26" i="39"/>
  <c r="E30" i="34"/>
  <c r="D14" i="34"/>
  <c r="E30" i="32"/>
  <c r="E28" i="34"/>
  <c r="D14" i="36"/>
  <c r="D26" i="34"/>
  <c r="E26" i="36"/>
  <c r="D27" i="34"/>
  <c r="F26" i="34"/>
  <c r="X58" i="32"/>
  <c r="AB58" i="32" s="1"/>
  <c r="X53" i="32"/>
  <c r="AB53" i="32" s="1"/>
  <c r="X24" i="28"/>
  <c r="X29" i="28"/>
  <c r="D11" i="28"/>
  <c r="D13" i="28" s="1"/>
  <c r="C27" i="28" s="1"/>
  <c r="F14" i="32"/>
  <c r="F25" i="39"/>
  <c r="F26" i="32"/>
  <c r="F14" i="34"/>
  <c r="F29" i="32"/>
  <c r="E14" i="36"/>
  <c r="D22" i="36"/>
  <c r="D31" i="36" s="1"/>
  <c r="F18" i="34"/>
  <c r="F27" i="34" s="1"/>
  <c r="D16" i="34"/>
  <c r="D25" i="34" s="1"/>
  <c r="E18" i="36"/>
  <c r="E27" i="36" s="1"/>
  <c r="E18" i="34"/>
  <c r="E27" i="34" s="1"/>
  <c r="E18" i="32"/>
  <c r="E27" i="32" s="1"/>
  <c r="D22" i="32"/>
  <c r="D31" i="32" s="1"/>
  <c r="F18" i="36"/>
  <c r="F27" i="36" s="1"/>
  <c r="E16" i="32"/>
  <c r="E25" i="32" s="1"/>
  <c r="E16" i="36"/>
  <c r="E25" i="36" s="1"/>
  <c r="E16" i="34"/>
  <c r="E25" i="34" s="1"/>
  <c r="E22" i="36"/>
  <c r="E31" i="36" s="1"/>
  <c r="E22" i="34"/>
  <c r="E31" i="34" s="1"/>
  <c r="E22" i="32"/>
  <c r="E31" i="32" s="1"/>
  <c r="D20" i="32"/>
  <c r="D29" i="32" s="1"/>
  <c r="D32" i="32" s="1"/>
  <c r="D20" i="34"/>
  <c r="D29" i="34" s="1"/>
  <c r="D16" i="36"/>
  <c r="D25" i="36" s="1"/>
  <c r="E20" i="34"/>
  <c r="E29" i="34" s="1"/>
  <c r="E20" i="32"/>
  <c r="E29" i="32" s="1"/>
  <c r="E20" i="36"/>
  <c r="E29" i="36" s="1"/>
  <c r="F29" i="38"/>
  <c r="F25" i="38"/>
  <c r="E28" i="40"/>
  <c r="F31" i="40"/>
  <c r="F25" i="40"/>
  <c r="F24" i="38"/>
  <c r="D30" i="38"/>
  <c r="F28" i="39"/>
  <c r="F29" i="40"/>
  <c r="F28" i="40"/>
  <c r="F30" i="38"/>
  <c r="E30" i="38"/>
  <c r="D28" i="39"/>
  <c r="D30" i="39"/>
  <c r="D27" i="38"/>
  <c r="E26" i="38"/>
  <c r="F31" i="38"/>
  <c r="E30" i="40"/>
  <c r="D27" i="40"/>
  <c r="F30" i="40"/>
  <c r="E28" i="39"/>
  <c r="F26" i="40"/>
  <c r="E28" i="38"/>
  <c r="F26" i="38"/>
  <c r="D27" i="39"/>
  <c r="F27" i="33"/>
  <c r="E26" i="39"/>
  <c r="F29" i="39"/>
  <c r="D28" i="38"/>
  <c r="D28" i="53"/>
  <c r="E30" i="39"/>
  <c r="F28" i="38"/>
  <c r="D26" i="38"/>
  <c r="E24" i="38"/>
  <c r="F31" i="53"/>
  <c r="F27" i="51"/>
  <c r="D30" i="40"/>
  <c r="F30" i="39"/>
  <c r="F26" i="39"/>
  <c r="F28" i="35"/>
  <c r="G23" i="35"/>
  <c r="D26" i="35"/>
  <c r="G23" i="53"/>
  <c r="G23" i="34"/>
  <c r="G23" i="32"/>
  <c r="D24" i="40"/>
  <c r="D29" i="35"/>
  <c r="G23" i="36"/>
  <c r="E16" i="38"/>
  <c r="E25" i="38" s="1"/>
  <c r="E16" i="40"/>
  <c r="E25" i="40" s="1"/>
  <c r="E16" i="39"/>
  <c r="E25" i="39" s="1"/>
  <c r="D28" i="40"/>
  <c r="E20" i="38"/>
  <c r="E29" i="38" s="1"/>
  <c r="E20" i="40"/>
  <c r="E29" i="40" s="1"/>
  <c r="E20" i="39"/>
  <c r="E29" i="39" s="1"/>
  <c r="D16" i="38"/>
  <c r="D25" i="38" s="1"/>
  <c r="D16" i="40"/>
  <c r="D25" i="40" s="1"/>
  <c r="D16" i="39"/>
  <c r="D25" i="39" s="1"/>
  <c r="E18" i="38"/>
  <c r="E27" i="38" s="1"/>
  <c r="E18" i="40"/>
  <c r="E18" i="39"/>
  <c r="E27" i="39" s="1"/>
  <c r="F18" i="40"/>
  <c r="F23" i="40" s="1"/>
  <c r="F18" i="39"/>
  <c r="F23" i="39" s="1"/>
  <c r="F31" i="39"/>
  <c r="D22" i="38"/>
  <c r="D31" i="38" s="1"/>
  <c r="D22" i="40"/>
  <c r="D31" i="40" s="1"/>
  <c r="D22" i="39"/>
  <c r="D31" i="39" s="1"/>
  <c r="G24" i="53"/>
  <c r="G32" i="53" s="1"/>
  <c r="G33" i="53" s="1"/>
  <c r="D26" i="40"/>
  <c r="X32" i="52"/>
  <c r="AB20" i="52"/>
  <c r="E22" i="38"/>
  <c r="E31" i="38" s="1"/>
  <c r="E22" i="40"/>
  <c r="E31" i="40" s="1"/>
  <c r="E22" i="39"/>
  <c r="E31" i="39" s="1"/>
  <c r="D20" i="38"/>
  <c r="D29" i="38" s="1"/>
  <c r="D20" i="40"/>
  <c r="D29" i="40" s="1"/>
  <c r="D20" i="39"/>
  <c r="D29" i="39" s="1"/>
  <c r="I20" i="52"/>
  <c r="I25" i="52"/>
  <c r="M25" i="52" s="1"/>
  <c r="I23" i="52"/>
  <c r="M23" i="52" s="1"/>
  <c r="I24" i="52"/>
  <c r="M24" i="52" s="1"/>
  <c r="I21" i="52"/>
  <c r="M21" i="52" s="1"/>
  <c r="I22" i="52"/>
  <c r="M22" i="52" s="1"/>
  <c r="I26" i="52"/>
  <c r="M26" i="52" s="1"/>
  <c r="I27" i="52"/>
  <c r="M27" i="52" s="1"/>
  <c r="I28" i="52"/>
  <c r="M28" i="52" s="1"/>
  <c r="I29" i="52"/>
  <c r="M29" i="52" s="1"/>
  <c r="I30" i="52"/>
  <c r="M30" i="52" s="1"/>
  <c r="I31" i="52"/>
  <c r="I24" i="30"/>
  <c r="I29" i="30"/>
  <c r="F27" i="53"/>
  <c r="D28" i="35"/>
  <c r="D11" i="52"/>
  <c r="D13" i="52" s="1"/>
  <c r="C27" i="52" s="1"/>
  <c r="H20" i="52" s="1"/>
  <c r="D29" i="53"/>
  <c r="D26" i="53"/>
  <c r="F28" i="53"/>
  <c r="F14" i="38"/>
  <c r="D14" i="38"/>
  <c r="F26" i="35"/>
  <c r="E14" i="38"/>
  <c r="D11" i="30"/>
  <c r="D13" i="30" s="1"/>
  <c r="C27" i="30" s="1"/>
  <c r="H29" i="30" s="1"/>
  <c r="F26" i="53"/>
  <c r="F23" i="32"/>
  <c r="D23" i="35"/>
  <c r="Z31" i="52"/>
  <c r="AB31" i="52" s="1"/>
  <c r="AB30" i="52"/>
  <c r="E23" i="35"/>
  <c r="D23" i="53"/>
  <c r="E23" i="53"/>
  <c r="D14" i="53"/>
  <c r="D24" i="53"/>
  <c r="E24" i="34"/>
  <c r="D24" i="36"/>
  <c r="N24" i="34"/>
  <c r="G32" i="34"/>
  <c r="G33" i="34" s="1"/>
  <c r="D24" i="35"/>
  <c r="D14" i="35"/>
  <c r="G32" i="36"/>
  <c r="G33" i="36" s="1"/>
  <c r="N24" i="36"/>
  <c r="E24" i="35"/>
  <c r="E32" i="35" s="1"/>
  <c r="F14" i="40"/>
  <c r="F24" i="40"/>
  <c r="F23" i="35"/>
  <c r="X50" i="53"/>
  <c r="AB50" i="53" s="1"/>
  <c r="X49" i="53"/>
  <c r="X51" i="53"/>
  <c r="AB51" i="53" s="1"/>
  <c r="X52" i="53"/>
  <c r="AB52" i="53" s="1"/>
  <c r="X54" i="53"/>
  <c r="AB54" i="53" s="1"/>
  <c r="X55" i="53"/>
  <c r="AB55" i="53" s="1"/>
  <c r="X56" i="53"/>
  <c r="AB56" i="53" s="1"/>
  <c r="X57" i="53"/>
  <c r="AB57" i="53" s="1"/>
  <c r="X59" i="53"/>
  <c r="AB59" i="53" s="1"/>
  <c r="X60" i="53"/>
  <c r="AB60" i="53" s="1"/>
  <c r="F24" i="39"/>
  <c r="F14" i="39"/>
  <c r="N24" i="35"/>
  <c r="G32" i="35"/>
  <c r="G33" i="35" s="1"/>
  <c r="D30" i="53"/>
  <c r="F23" i="53"/>
  <c r="D24" i="34"/>
  <c r="F27" i="35"/>
  <c r="F24" i="53"/>
  <c r="F14" i="53"/>
  <c r="E14" i="40"/>
  <c r="E24" i="40"/>
  <c r="E24" i="36"/>
  <c r="E24" i="53"/>
  <c r="E32" i="53" s="1"/>
  <c r="D30" i="35"/>
  <c r="D14" i="40"/>
  <c r="F14" i="35"/>
  <c r="F24" i="35"/>
  <c r="E24" i="39"/>
  <c r="E14" i="39"/>
  <c r="D14" i="39"/>
  <c r="K31" i="52"/>
  <c r="Q167" i="6"/>
  <c r="F27" i="48"/>
  <c r="I24" i="29"/>
  <c r="X56" i="40"/>
  <c r="AB56" i="40" s="1"/>
  <c r="X52" i="40"/>
  <c r="AB52" i="40" s="1"/>
  <c r="X57" i="40"/>
  <c r="AB57" i="40" s="1"/>
  <c r="X51" i="40"/>
  <c r="AB51" i="40" s="1"/>
  <c r="F26" i="48"/>
  <c r="I23" i="50"/>
  <c r="M23" i="50" s="1"/>
  <c r="I24" i="50"/>
  <c r="M24" i="50" s="1"/>
  <c r="I21" i="50"/>
  <c r="M21" i="50" s="1"/>
  <c r="I20" i="50"/>
  <c r="I22" i="50"/>
  <c r="M22" i="50" s="1"/>
  <c r="I25" i="50"/>
  <c r="M25" i="50" s="1"/>
  <c r="I26" i="50"/>
  <c r="M26" i="50" s="1"/>
  <c r="I27" i="50"/>
  <c r="M27" i="50" s="1"/>
  <c r="I28" i="50"/>
  <c r="M28" i="50" s="1"/>
  <c r="I29" i="50"/>
  <c r="M29" i="50" s="1"/>
  <c r="I30" i="50"/>
  <c r="M30" i="50" s="1"/>
  <c r="I31" i="50"/>
  <c r="G23" i="51"/>
  <c r="L102" i="6"/>
  <c r="K164" i="6" s="1"/>
  <c r="K165" i="6" s="1"/>
  <c r="F18" i="38"/>
  <c r="G23" i="33"/>
  <c r="X20" i="50"/>
  <c r="X21" i="50"/>
  <c r="AB21" i="50" s="1"/>
  <c r="X22" i="50"/>
  <c r="AB22" i="50" s="1"/>
  <c r="X23" i="50"/>
  <c r="AB23" i="50" s="1"/>
  <c r="AB24" i="50"/>
  <c r="X25" i="50"/>
  <c r="AB25" i="50" s="1"/>
  <c r="X26" i="50"/>
  <c r="AB26" i="50" s="1"/>
  <c r="X27" i="50"/>
  <c r="AB27" i="50" s="1"/>
  <c r="X28" i="50"/>
  <c r="AB28" i="50" s="1"/>
  <c r="AB29" i="50"/>
  <c r="X30" i="50"/>
  <c r="AB30" i="50" s="1"/>
  <c r="X31" i="50"/>
  <c r="X51" i="32"/>
  <c r="AB51" i="32" s="1"/>
  <c r="X50" i="32"/>
  <c r="AB50" i="32" s="1"/>
  <c r="X49" i="32"/>
  <c r="AB49" i="32" s="1"/>
  <c r="X56" i="32"/>
  <c r="AB56" i="32" s="1"/>
  <c r="X55" i="32"/>
  <c r="AB55" i="32" s="1"/>
  <c r="X54" i="32"/>
  <c r="AB54" i="32" s="1"/>
  <c r="X52" i="32"/>
  <c r="AB52" i="32" s="1"/>
  <c r="D11" i="29"/>
  <c r="D13" i="29" s="1"/>
  <c r="C27" i="29" s="1"/>
  <c r="H29" i="29" s="1"/>
  <c r="D30" i="48"/>
  <c r="X52" i="39"/>
  <c r="AB52" i="39" s="1"/>
  <c r="X55" i="39"/>
  <c r="AB55" i="39" s="1"/>
  <c r="R13" i="41"/>
  <c r="W13" i="41" s="1"/>
  <c r="AA13" i="41" s="1"/>
  <c r="X49" i="39"/>
  <c r="AB49" i="39" s="1"/>
  <c r="AB58" i="39"/>
  <c r="X51" i="38"/>
  <c r="AB51" i="38" s="1"/>
  <c r="X50" i="38"/>
  <c r="AB50" i="38" s="1"/>
  <c r="X60" i="38"/>
  <c r="AB60" i="38" s="1"/>
  <c r="X54" i="38"/>
  <c r="AB54" i="38" s="1"/>
  <c r="X59" i="38"/>
  <c r="AB59" i="38" s="1"/>
  <c r="X52" i="38"/>
  <c r="AB52" i="38" s="1"/>
  <c r="AB58" i="38"/>
  <c r="X49" i="38"/>
  <c r="AB49" i="38" s="1"/>
  <c r="X57" i="38"/>
  <c r="AB57" i="38" s="1"/>
  <c r="X56" i="38"/>
  <c r="AB56" i="38" s="1"/>
  <c r="X55" i="38"/>
  <c r="AB55" i="38" s="1"/>
  <c r="F26" i="33"/>
  <c r="E23" i="48"/>
  <c r="D26" i="48"/>
  <c r="X54" i="39"/>
  <c r="AB54" i="39" s="1"/>
  <c r="X56" i="39"/>
  <c r="AB56" i="39" s="1"/>
  <c r="X54" i="40"/>
  <c r="AB54" i="40" s="1"/>
  <c r="X49" i="40"/>
  <c r="AB49" i="40" s="1"/>
  <c r="X49" i="36"/>
  <c r="AB49" i="36" s="1"/>
  <c r="X56" i="36"/>
  <c r="AB56" i="36" s="1"/>
  <c r="X50" i="39"/>
  <c r="AB50" i="39" s="1"/>
  <c r="X50" i="40"/>
  <c r="AB50" i="40" s="1"/>
  <c r="X55" i="36"/>
  <c r="AB55" i="36" s="1"/>
  <c r="X50" i="36"/>
  <c r="AB50" i="36" s="1"/>
  <c r="X57" i="39"/>
  <c r="AB57" i="39" s="1"/>
  <c r="X59" i="40"/>
  <c r="AB59" i="40" s="1"/>
  <c r="X54" i="36"/>
  <c r="AB54" i="36" s="1"/>
  <c r="D26" i="31"/>
  <c r="X60" i="39"/>
  <c r="AB60" i="39" s="1"/>
  <c r="AB53" i="39"/>
  <c r="X60" i="40"/>
  <c r="AB60" i="40" s="1"/>
  <c r="X55" i="40"/>
  <c r="AB55" i="40" s="1"/>
  <c r="X52" i="36"/>
  <c r="AB52" i="36" s="1"/>
  <c r="X59" i="39"/>
  <c r="AB59" i="39" s="1"/>
  <c r="AB58" i="40"/>
  <c r="X51" i="36"/>
  <c r="AB51" i="36" s="1"/>
  <c r="F31" i="51"/>
  <c r="Z31" i="50"/>
  <c r="D30" i="33"/>
  <c r="K31" i="50"/>
  <c r="D11" i="50"/>
  <c r="D13" i="50" s="1"/>
  <c r="C27" i="50" s="1"/>
  <c r="H21" i="50" s="1"/>
  <c r="L21" i="50" s="1"/>
  <c r="F23" i="51"/>
  <c r="F26" i="31"/>
  <c r="D30" i="51"/>
  <c r="F23" i="33"/>
  <c r="D30" i="31"/>
  <c r="F26" i="51"/>
  <c r="F24" i="33"/>
  <c r="F14" i="33"/>
  <c r="D26" i="33"/>
  <c r="F28" i="33"/>
  <c r="D14" i="33"/>
  <c r="D24" i="33"/>
  <c r="E32" i="33"/>
  <c r="F24" i="51"/>
  <c r="F14" i="51"/>
  <c r="D26" i="51"/>
  <c r="F28" i="51"/>
  <c r="D14" i="51"/>
  <c r="D24" i="51"/>
  <c r="D28" i="33"/>
  <c r="N24" i="51"/>
  <c r="F31" i="33"/>
  <c r="X54" i="48"/>
  <c r="AB54" i="48" s="1"/>
  <c r="D23" i="33"/>
  <c r="W22" i="47"/>
  <c r="AA22" i="47" s="1"/>
  <c r="E23" i="33"/>
  <c r="D23" i="51"/>
  <c r="E32" i="51"/>
  <c r="D29" i="33"/>
  <c r="E23" i="51"/>
  <c r="D28" i="51"/>
  <c r="D29" i="51"/>
  <c r="N24" i="33"/>
  <c r="G32" i="33"/>
  <c r="G33" i="33" s="1"/>
  <c r="N24" i="32"/>
  <c r="G32" i="32"/>
  <c r="G33" i="32" s="1"/>
  <c r="E23" i="31"/>
  <c r="D14" i="48"/>
  <c r="D24" i="48"/>
  <c r="E24" i="48"/>
  <c r="E32" i="48" s="1"/>
  <c r="F23" i="48"/>
  <c r="F23" i="31"/>
  <c r="D29" i="31"/>
  <c r="F28" i="48"/>
  <c r="G23" i="48"/>
  <c r="F31" i="48"/>
  <c r="D29" i="48"/>
  <c r="E24" i="31"/>
  <c r="E32" i="31" s="1"/>
  <c r="F28" i="31"/>
  <c r="G23" i="31"/>
  <c r="G24" i="48"/>
  <c r="F31" i="31"/>
  <c r="F24" i="48"/>
  <c r="F14" i="48"/>
  <c r="F14" i="31"/>
  <c r="F24" i="31"/>
  <c r="D23" i="31"/>
  <c r="G24" i="31"/>
  <c r="D28" i="48"/>
  <c r="D23" i="48"/>
  <c r="D24" i="31"/>
  <c r="D14" i="31"/>
  <c r="D28" i="31"/>
  <c r="I127" i="6"/>
  <c r="M124" i="6"/>
  <c r="M125" i="6" s="1"/>
  <c r="I20" i="47"/>
  <c r="I21" i="47"/>
  <c r="M21" i="47" s="1"/>
  <c r="I24" i="47"/>
  <c r="M24" i="47" s="1"/>
  <c r="I22" i="47"/>
  <c r="M22" i="47" s="1"/>
  <c r="I23" i="47"/>
  <c r="M23" i="47" s="1"/>
  <c r="I25" i="47"/>
  <c r="M25" i="47" s="1"/>
  <c r="I26" i="47"/>
  <c r="M26" i="47" s="1"/>
  <c r="I27" i="47"/>
  <c r="M27" i="47" s="1"/>
  <c r="I28" i="47"/>
  <c r="M28" i="47" s="1"/>
  <c r="I29" i="47"/>
  <c r="M29" i="47" s="1"/>
  <c r="I30" i="47"/>
  <c r="M30" i="47" s="1"/>
  <c r="I31" i="47"/>
  <c r="M31" i="47" s="1"/>
  <c r="I24" i="28"/>
  <c r="I29" i="28"/>
  <c r="X20" i="47"/>
  <c r="X21" i="47"/>
  <c r="AB21" i="47" s="1"/>
  <c r="X22" i="47"/>
  <c r="AB22" i="47" s="1"/>
  <c r="X23" i="47"/>
  <c r="AB23" i="47" s="1"/>
  <c r="AB24" i="47"/>
  <c r="X25" i="47"/>
  <c r="AB25" i="47" s="1"/>
  <c r="X26" i="47"/>
  <c r="AB26" i="47" s="1"/>
  <c r="X27" i="47"/>
  <c r="AB27" i="47" s="1"/>
  <c r="X28" i="47"/>
  <c r="AB28" i="47" s="1"/>
  <c r="AB29" i="47"/>
  <c r="X30" i="47"/>
  <c r="AB30" i="47" s="1"/>
  <c r="X31" i="47"/>
  <c r="AB31" i="47" s="1"/>
  <c r="D11" i="47"/>
  <c r="D13" i="47" s="1"/>
  <c r="C27" i="47" s="1"/>
  <c r="X11" i="41"/>
  <c r="AB11" i="41" s="1"/>
  <c r="X12" i="41"/>
  <c r="AB12" i="41" s="1"/>
  <c r="X13" i="41"/>
  <c r="AB13" i="41" s="1"/>
  <c r="X7" i="41"/>
  <c r="AB7" i="41" s="1"/>
  <c r="X14" i="41"/>
  <c r="AB14" i="41" s="1"/>
  <c r="X6" i="41"/>
  <c r="X15" i="41"/>
  <c r="AB15" i="41" s="1"/>
  <c r="X8" i="41"/>
  <c r="AB8" i="41" s="1"/>
  <c r="X16" i="41"/>
  <c r="AB16" i="41" s="1"/>
  <c r="X9" i="41"/>
  <c r="AB9" i="41" s="1"/>
  <c r="X17" i="41"/>
  <c r="AB17" i="41" s="1"/>
  <c r="X10" i="41"/>
  <c r="AB10" i="41" s="1"/>
  <c r="I125" i="6"/>
  <c r="L49" i="6"/>
  <c r="L63" i="6" s="1"/>
  <c r="K109" i="6" s="1"/>
  <c r="I167" i="6"/>
  <c r="G145" i="6"/>
  <c r="H49" i="6"/>
  <c r="H63" i="6" s="1"/>
  <c r="G109" i="6" s="1"/>
  <c r="L89" i="6"/>
  <c r="K154" i="6"/>
  <c r="K155" i="6" s="1"/>
  <c r="J89" i="6"/>
  <c r="I154" i="6"/>
  <c r="H89" i="6"/>
  <c r="G154" i="6"/>
  <c r="Q89" i="6"/>
  <c r="Q103" i="6" s="1"/>
  <c r="M110" i="6" s="1"/>
  <c r="Q114" i="6" s="1"/>
  <c r="M154" i="6"/>
  <c r="I145" i="6"/>
  <c r="E60" i="34"/>
  <c r="T60" i="32"/>
  <c r="X59" i="32"/>
  <c r="AB59" i="32" s="1"/>
  <c r="X59" i="36"/>
  <c r="AB59" i="36" s="1"/>
  <c r="T60" i="36"/>
  <c r="T60" i="34"/>
  <c r="X59" i="34"/>
  <c r="AB59" i="34" s="1"/>
  <c r="E60" i="32"/>
  <c r="E61" i="32" s="1"/>
  <c r="E60" i="36"/>
  <c r="J63" i="6"/>
  <c r="I109" i="6" s="1"/>
  <c r="Q148" i="6"/>
  <c r="K145" i="6"/>
  <c r="M145" i="6"/>
  <c r="M146" i="6" s="1"/>
  <c r="S6" i="4"/>
  <c r="S6" i="5"/>
  <c r="Y17" i="4"/>
  <c r="T17" i="5"/>
  <c r="Y17" i="5"/>
  <c r="T17" i="4"/>
  <c r="I84" i="19"/>
  <c r="H102" i="6"/>
  <c r="G164" i="6" s="1"/>
  <c r="J102" i="6"/>
  <c r="I164" i="6" s="1"/>
  <c r="I165" i="6" s="1"/>
  <c r="E8" i="5"/>
  <c r="E9" i="5" s="1"/>
  <c r="E10" i="5" s="1"/>
  <c r="F32" i="36" l="1"/>
  <c r="X53" i="51"/>
  <c r="F23" i="36"/>
  <c r="F32" i="34"/>
  <c r="D23" i="34"/>
  <c r="G32" i="51"/>
  <c r="G33" i="51" s="1"/>
  <c r="X53" i="33"/>
  <c r="AB53" i="33" s="1"/>
  <c r="X58" i="33"/>
  <c r="AB58" i="33" s="1"/>
  <c r="D32" i="34"/>
  <c r="F32" i="32"/>
  <c r="D23" i="36"/>
  <c r="D32" i="36"/>
  <c r="E32" i="32"/>
  <c r="E23" i="32"/>
  <c r="E23" i="34"/>
  <c r="W24" i="28"/>
  <c r="W29" i="28"/>
  <c r="F23" i="34"/>
  <c r="E32" i="34"/>
  <c r="E32" i="36"/>
  <c r="D33" i="36" s="1"/>
  <c r="J25" i="36" s="1"/>
  <c r="L25" i="36" s="1"/>
  <c r="E23" i="36"/>
  <c r="D23" i="32"/>
  <c r="M31" i="52"/>
  <c r="N24" i="53"/>
  <c r="P24" i="53" s="1"/>
  <c r="P32" i="53" s="1"/>
  <c r="D49" i="53" s="1"/>
  <c r="D23" i="38"/>
  <c r="F32" i="53"/>
  <c r="D23" i="39"/>
  <c r="E32" i="39"/>
  <c r="E32" i="38"/>
  <c r="E23" i="40"/>
  <c r="E23" i="38"/>
  <c r="F27" i="39"/>
  <c r="F32" i="39" s="1"/>
  <c r="D23" i="40"/>
  <c r="E23" i="39"/>
  <c r="D32" i="40"/>
  <c r="D32" i="39"/>
  <c r="E27" i="40"/>
  <c r="E32" i="40" s="1"/>
  <c r="F27" i="40"/>
  <c r="F32" i="40" s="1"/>
  <c r="H24" i="30"/>
  <c r="H31" i="52"/>
  <c r="L31" i="52" s="1"/>
  <c r="H30" i="52"/>
  <c r="L30" i="52" s="1"/>
  <c r="N30" i="52" s="1"/>
  <c r="O30" i="52" s="1"/>
  <c r="H23" i="52"/>
  <c r="L23" i="52" s="1"/>
  <c r="N23" i="52" s="1"/>
  <c r="O23" i="52" s="1"/>
  <c r="H25" i="52"/>
  <c r="L25" i="52" s="1"/>
  <c r="N25" i="52" s="1"/>
  <c r="O25" i="52" s="1"/>
  <c r="H24" i="52"/>
  <c r="L24" i="52" s="1"/>
  <c r="N24" i="52" s="1"/>
  <c r="O24" i="52" s="1"/>
  <c r="I32" i="52"/>
  <c r="M20" i="52"/>
  <c r="H29" i="52"/>
  <c r="L29" i="52" s="1"/>
  <c r="N29" i="52" s="1"/>
  <c r="O29" i="52" s="1"/>
  <c r="H22" i="52"/>
  <c r="L22" i="52" s="1"/>
  <c r="N22" i="52" s="1"/>
  <c r="O22" i="52" s="1"/>
  <c r="H28" i="52"/>
  <c r="L28" i="52" s="1"/>
  <c r="N28" i="52" s="1"/>
  <c r="O28" i="52" s="1"/>
  <c r="H21" i="52"/>
  <c r="L21" i="52" s="1"/>
  <c r="N21" i="52" s="1"/>
  <c r="O21" i="52" s="1"/>
  <c r="H27" i="52"/>
  <c r="L27" i="52" s="1"/>
  <c r="N27" i="52" s="1"/>
  <c r="O27" i="52" s="1"/>
  <c r="H26" i="52"/>
  <c r="L26" i="52" s="1"/>
  <c r="N26" i="52" s="1"/>
  <c r="O26" i="52" s="1"/>
  <c r="N21" i="50"/>
  <c r="O21" i="50" s="1"/>
  <c r="D32" i="38"/>
  <c r="F32" i="35"/>
  <c r="D32" i="53"/>
  <c r="W21" i="52"/>
  <c r="AA21" i="52" s="1"/>
  <c r="AC21" i="52" s="1"/>
  <c r="AD21" i="52" s="1"/>
  <c r="W20" i="52"/>
  <c r="W22" i="52"/>
  <c r="AA22" i="52" s="1"/>
  <c r="AC22" i="52" s="1"/>
  <c r="AD22" i="52" s="1"/>
  <c r="W23" i="52"/>
  <c r="AA23" i="52" s="1"/>
  <c r="AC23" i="52" s="1"/>
  <c r="AD23" i="52" s="1"/>
  <c r="AA24" i="52"/>
  <c r="AC24" i="52" s="1"/>
  <c r="AD24" i="52" s="1"/>
  <c r="W25" i="52"/>
  <c r="AA25" i="52" s="1"/>
  <c r="AC25" i="52" s="1"/>
  <c r="AD25" i="52" s="1"/>
  <c r="W26" i="52"/>
  <c r="AA26" i="52" s="1"/>
  <c r="AC26" i="52" s="1"/>
  <c r="AD26" i="52" s="1"/>
  <c r="W27" i="52"/>
  <c r="AA27" i="52" s="1"/>
  <c r="AC27" i="52" s="1"/>
  <c r="AD27" i="52" s="1"/>
  <c r="W28" i="52"/>
  <c r="AA28" i="52" s="1"/>
  <c r="AC28" i="52" s="1"/>
  <c r="AD28" i="52" s="1"/>
  <c r="AA29" i="52"/>
  <c r="AC29" i="52" s="1"/>
  <c r="AD29" i="52" s="1"/>
  <c r="W30" i="52"/>
  <c r="AA30" i="52" s="1"/>
  <c r="AC30" i="52" s="1"/>
  <c r="AD30" i="52" s="1"/>
  <c r="W31" i="52"/>
  <c r="AA31" i="52" s="1"/>
  <c r="AC31" i="52" s="1"/>
  <c r="AD31" i="52" s="1"/>
  <c r="N32" i="34"/>
  <c r="P24" i="34"/>
  <c r="P32" i="34" s="1"/>
  <c r="D49" i="34" s="1"/>
  <c r="L20" i="52"/>
  <c r="AB32" i="52"/>
  <c r="N32" i="36"/>
  <c r="P24" i="36"/>
  <c r="P32" i="36" s="1"/>
  <c r="D49" i="36" s="1"/>
  <c r="AB49" i="53"/>
  <c r="AB61" i="53" s="1"/>
  <c r="X61" i="53"/>
  <c r="N32" i="35"/>
  <c r="P24" i="35"/>
  <c r="P32" i="35" s="1"/>
  <c r="D49" i="35" s="1"/>
  <c r="D32" i="35"/>
  <c r="M31" i="50"/>
  <c r="AB31" i="50"/>
  <c r="L103" i="6"/>
  <c r="K110" i="6" s="1"/>
  <c r="K111" i="6" s="1"/>
  <c r="H24" i="29"/>
  <c r="X32" i="50"/>
  <c r="AB20" i="50"/>
  <c r="I32" i="50"/>
  <c r="M20" i="50"/>
  <c r="F23" i="38"/>
  <c r="F27" i="38"/>
  <c r="F32" i="38" s="1"/>
  <c r="W12" i="41"/>
  <c r="AA12" i="41" s="1"/>
  <c r="AC12" i="41" s="1"/>
  <c r="AD12" i="41" s="1"/>
  <c r="W11" i="41"/>
  <c r="AA11" i="41" s="1"/>
  <c r="AC11" i="41" s="1"/>
  <c r="AD11" i="41" s="1"/>
  <c r="W10" i="41"/>
  <c r="AA10" i="41" s="1"/>
  <c r="AC10" i="41" s="1"/>
  <c r="AD10" i="41" s="1"/>
  <c r="W17" i="41"/>
  <c r="AA17" i="41" s="1"/>
  <c r="AC17" i="41" s="1"/>
  <c r="AD17" i="41" s="1"/>
  <c r="W9" i="41"/>
  <c r="AA9" i="41" s="1"/>
  <c r="AC9" i="41" s="1"/>
  <c r="AD9" i="41" s="1"/>
  <c r="W16" i="41"/>
  <c r="AA16" i="41" s="1"/>
  <c r="AC16" i="41" s="1"/>
  <c r="AD16" i="41" s="1"/>
  <c r="W8" i="41"/>
  <c r="AA8" i="41" s="1"/>
  <c r="AC8" i="41" s="1"/>
  <c r="AD8" i="41" s="1"/>
  <c r="W15" i="41"/>
  <c r="AA15" i="41" s="1"/>
  <c r="AC15" i="41" s="1"/>
  <c r="AD15" i="41" s="1"/>
  <c r="W7" i="41"/>
  <c r="AA7" i="41" s="1"/>
  <c r="AC7" i="41" s="1"/>
  <c r="AD7" i="41" s="1"/>
  <c r="W14" i="41"/>
  <c r="AA14" i="41" s="1"/>
  <c r="AC14" i="41" s="1"/>
  <c r="AD14" i="41" s="1"/>
  <c r="W6" i="41"/>
  <c r="AA6" i="41" s="1"/>
  <c r="AB61" i="38"/>
  <c r="X61" i="38"/>
  <c r="X55" i="48"/>
  <c r="AB55" i="48" s="1"/>
  <c r="W27" i="47"/>
  <c r="AA27" i="47" s="1"/>
  <c r="AC27" i="47" s="1"/>
  <c r="AD27" i="47" s="1"/>
  <c r="H28" i="50"/>
  <c r="L28" i="50" s="1"/>
  <c r="N28" i="50" s="1"/>
  <c r="O28" i="50" s="1"/>
  <c r="AB61" i="39"/>
  <c r="X61" i="40"/>
  <c r="AB61" i="40"/>
  <c r="H24" i="50"/>
  <c r="L24" i="50" s="1"/>
  <c r="N24" i="50" s="1"/>
  <c r="O24" i="50" s="1"/>
  <c r="X61" i="39"/>
  <c r="AB53" i="48"/>
  <c r="W21" i="47"/>
  <c r="AA21" i="47" s="1"/>
  <c r="AC21" i="47" s="1"/>
  <c r="AD21" i="47" s="1"/>
  <c r="H30" i="50"/>
  <c r="L30" i="50" s="1"/>
  <c r="N30" i="50" s="1"/>
  <c r="O30" i="50" s="1"/>
  <c r="H26" i="50"/>
  <c r="L26" i="50" s="1"/>
  <c r="N26" i="50" s="1"/>
  <c r="O26" i="50" s="1"/>
  <c r="H27" i="50"/>
  <c r="L27" i="50" s="1"/>
  <c r="N27" i="50" s="1"/>
  <c r="O27" i="50" s="1"/>
  <c r="H29" i="50"/>
  <c r="L29" i="50" s="1"/>
  <c r="N29" i="50" s="1"/>
  <c r="O29" i="50" s="1"/>
  <c r="H25" i="50"/>
  <c r="L25" i="50" s="1"/>
  <c r="N25" i="50" s="1"/>
  <c r="O25" i="50" s="1"/>
  <c r="AA29" i="47"/>
  <c r="AC29" i="47" s="1"/>
  <c r="AD29" i="47" s="1"/>
  <c r="H20" i="50"/>
  <c r="L20" i="50" s="1"/>
  <c r="H22" i="50"/>
  <c r="L22" i="50" s="1"/>
  <c r="N22" i="50" s="1"/>
  <c r="O22" i="50" s="1"/>
  <c r="H23" i="50"/>
  <c r="L23" i="50" s="1"/>
  <c r="N23" i="50" s="1"/>
  <c r="O23" i="50" s="1"/>
  <c r="H31" i="50"/>
  <c r="L31" i="50" s="1"/>
  <c r="W30" i="47"/>
  <c r="AA30" i="47" s="1"/>
  <c r="AC30" i="47" s="1"/>
  <c r="AD30" i="47" s="1"/>
  <c r="X60" i="48"/>
  <c r="AB60" i="48" s="1"/>
  <c r="X52" i="48"/>
  <c r="AB52" i="48" s="1"/>
  <c r="X59" i="48"/>
  <c r="AB59" i="48" s="1"/>
  <c r="X51" i="48"/>
  <c r="AB51" i="48" s="1"/>
  <c r="AC22" i="47"/>
  <c r="AD22" i="47" s="1"/>
  <c r="AB58" i="48"/>
  <c r="X50" i="48"/>
  <c r="AB50" i="48" s="1"/>
  <c r="X57" i="48"/>
  <c r="AB57" i="48" s="1"/>
  <c r="X49" i="48"/>
  <c r="AB49" i="48" s="1"/>
  <c r="X56" i="48"/>
  <c r="AB56" i="48" s="1"/>
  <c r="X50" i="51"/>
  <c r="AB50" i="51" s="1"/>
  <c r="X49" i="51"/>
  <c r="X51" i="51"/>
  <c r="AB51" i="51" s="1"/>
  <c r="X52" i="51"/>
  <c r="AB52" i="51" s="1"/>
  <c r="AB53" i="51"/>
  <c r="X54" i="51"/>
  <c r="AB54" i="51" s="1"/>
  <c r="X55" i="51"/>
  <c r="AB55" i="51" s="1"/>
  <c r="X56" i="51"/>
  <c r="AB56" i="51" s="1"/>
  <c r="X57" i="51"/>
  <c r="AB57" i="51" s="1"/>
  <c r="AB58" i="51"/>
  <c r="X59" i="51"/>
  <c r="AB59" i="51" s="1"/>
  <c r="X60" i="51"/>
  <c r="AB60" i="51" s="1"/>
  <c r="F32" i="33"/>
  <c r="N32" i="51"/>
  <c r="P24" i="51"/>
  <c r="P32" i="51" s="1"/>
  <c r="D49" i="51" s="1"/>
  <c r="F32" i="51"/>
  <c r="N32" i="33"/>
  <c r="P24" i="33"/>
  <c r="P32" i="33" s="1"/>
  <c r="D49" i="33" s="1"/>
  <c r="W20" i="50"/>
  <c r="W21" i="50"/>
  <c r="AA21" i="50" s="1"/>
  <c r="AC21" i="50" s="1"/>
  <c r="AD21" i="50" s="1"/>
  <c r="W22" i="50"/>
  <c r="AA22" i="50" s="1"/>
  <c r="AC22" i="50" s="1"/>
  <c r="AD22" i="50" s="1"/>
  <c r="W23" i="50"/>
  <c r="AA23" i="50" s="1"/>
  <c r="AC23" i="50" s="1"/>
  <c r="AD23" i="50" s="1"/>
  <c r="AA24" i="50"/>
  <c r="AC24" i="50" s="1"/>
  <c r="AD24" i="50" s="1"/>
  <c r="W25" i="50"/>
  <c r="AA25" i="50" s="1"/>
  <c r="AC25" i="50" s="1"/>
  <c r="AD25" i="50" s="1"/>
  <c r="W26" i="50"/>
  <c r="AA26" i="50" s="1"/>
  <c r="AC26" i="50" s="1"/>
  <c r="AD26" i="50" s="1"/>
  <c r="W27" i="50"/>
  <c r="AA27" i="50" s="1"/>
  <c r="AC27" i="50" s="1"/>
  <c r="AD27" i="50" s="1"/>
  <c r="W28" i="50"/>
  <c r="AA28" i="50" s="1"/>
  <c r="AC28" i="50" s="1"/>
  <c r="AD28" i="50" s="1"/>
  <c r="AA29" i="50"/>
  <c r="AC29" i="50" s="1"/>
  <c r="AD29" i="50" s="1"/>
  <c r="W30" i="50"/>
  <c r="AA30" i="50" s="1"/>
  <c r="AC30" i="50" s="1"/>
  <c r="AD30" i="50" s="1"/>
  <c r="W31" i="50"/>
  <c r="AA31" i="50" s="1"/>
  <c r="D32" i="33"/>
  <c r="W26" i="47"/>
  <c r="AA26" i="47" s="1"/>
  <c r="AC26" i="47" s="1"/>
  <c r="AD26" i="47" s="1"/>
  <c r="W23" i="47"/>
  <c r="AA23" i="47" s="1"/>
  <c r="AC23" i="47" s="1"/>
  <c r="AD23" i="47" s="1"/>
  <c r="AA24" i="47"/>
  <c r="AC24" i="47" s="1"/>
  <c r="AD24" i="47" s="1"/>
  <c r="W25" i="47"/>
  <c r="AA25" i="47" s="1"/>
  <c r="AC25" i="47" s="1"/>
  <c r="AD25" i="47" s="1"/>
  <c r="W28" i="47"/>
  <c r="AA28" i="47" s="1"/>
  <c r="AC28" i="47" s="1"/>
  <c r="AD28" i="47" s="1"/>
  <c r="W31" i="47"/>
  <c r="AA31" i="47" s="1"/>
  <c r="AC31" i="47" s="1"/>
  <c r="AD31" i="47" s="1"/>
  <c r="W20" i="47"/>
  <c r="AA20" i="47" s="1"/>
  <c r="D32" i="51"/>
  <c r="F32" i="31"/>
  <c r="N32" i="32"/>
  <c r="P24" i="32"/>
  <c r="P32" i="32" s="1"/>
  <c r="D49" i="32" s="1"/>
  <c r="F32" i="48"/>
  <c r="D32" i="48"/>
  <c r="D32" i="31"/>
  <c r="N24" i="48"/>
  <c r="G32" i="48"/>
  <c r="G33" i="48" s="1"/>
  <c r="N24" i="31"/>
  <c r="G32" i="31"/>
  <c r="G33" i="31" s="1"/>
  <c r="AC13" i="41"/>
  <c r="AD13" i="41" s="1"/>
  <c r="H22" i="47"/>
  <c r="L22" i="47" s="1"/>
  <c r="N22" i="47" s="1"/>
  <c r="O22" i="47" s="1"/>
  <c r="H20" i="47"/>
  <c r="H25" i="47"/>
  <c r="L25" i="47" s="1"/>
  <c r="N25" i="47" s="1"/>
  <c r="O25" i="47" s="1"/>
  <c r="H23" i="47"/>
  <c r="L23" i="47" s="1"/>
  <c r="N23" i="47" s="1"/>
  <c r="O23" i="47" s="1"/>
  <c r="H21" i="47"/>
  <c r="L21" i="47" s="1"/>
  <c r="N21" i="47" s="1"/>
  <c r="O21" i="47" s="1"/>
  <c r="H24" i="47"/>
  <c r="L24" i="47" s="1"/>
  <c r="N24" i="47" s="1"/>
  <c r="O24" i="47" s="1"/>
  <c r="H26" i="47"/>
  <c r="L26" i="47" s="1"/>
  <c r="N26" i="47" s="1"/>
  <c r="O26" i="47" s="1"/>
  <c r="H27" i="47"/>
  <c r="L27" i="47" s="1"/>
  <c r="N27" i="47" s="1"/>
  <c r="O27" i="47" s="1"/>
  <c r="H28" i="47"/>
  <c r="L28" i="47" s="1"/>
  <c r="N28" i="47" s="1"/>
  <c r="O28" i="47" s="1"/>
  <c r="H29" i="47"/>
  <c r="L29" i="47" s="1"/>
  <c r="N29" i="47" s="1"/>
  <c r="O29" i="47" s="1"/>
  <c r="H30" i="47"/>
  <c r="L30" i="47" s="1"/>
  <c r="N30" i="47" s="1"/>
  <c r="O30" i="47" s="1"/>
  <c r="H31" i="47"/>
  <c r="L31" i="47" s="1"/>
  <c r="N31" i="47" s="1"/>
  <c r="O31" i="47" s="1"/>
  <c r="X18" i="41"/>
  <c r="AB6" i="41"/>
  <c r="AB18" i="41" s="1"/>
  <c r="H24" i="28"/>
  <c r="H29" i="28"/>
  <c r="AB20" i="47"/>
  <c r="AB32" i="47" s="1"/>
  <c r="X32" i="47"/>
  <c r="M20" i="47"/>
  <c r="M32" i="47" s="1"/>
  <c r="I32" i="47"/>
  <c r="I147" i="6"/>
  <c r="I59" i="39"/>
  <c r="M59" i="39" s="1"/>
  <c r="I52" i="39"/>
  <c r="M52" i="39" s="1"/>
  <c r="M53" i="39"/>
  <c r="I50" i="39"/>
  <c r="M50" i="39" s="1"/>
  <c r="I55" i="39"/>
  <c r="M55" i="39" s="1"/>
  <c r="I60" i="39"/>
  <c r="M60" i="39" s="1"/>
  <c r="I49" i="39"/>
  <c r="I51" i="39"/>
  <c r="M51" i="39" s="1"/>
  <c r="I54" i="39"/>
  <c r="M54" i="39" s="1"/>
  <c r="I56" i="39"/>
  <c r="M56" i="39" s="1"/>
  <c r="M58" i="39"/>
  <c r="I57" i="39"/>
  <c r="M57" i="39" s="1"/>
  <c r="I59" i="38"/>
  <c r="M59" i="38" s="1"/>
  <c r="I49" i="38"/>
  <c r="M53" i="38"/>
  <c r="I51" i="38"/>
  <c r="M51" i="38" s="1"/>
  <c r="I55" i="38"/>
  <c r="M55" i="38" s="1"/>
  <c r="I57" i="38"/>
  <c r="M57" i="38" s="1"/>
  <c r="I52" i="38"/>
  <c r="M52" i="38" s="1"/>
  <c r="I50" i="38"/>
  <c r="M50" i="38" s="1"/>
  <c r="I54" i="38"/>
  <c r="M54" i="38" s="1"/>
  <c r="I56" i="38"/>
  <c r="M56" i="38" s="1"/>
  <c r="M58" i="38"/>
  <c r="I60" i="38"/>
  <c r="M60" i="38" s="1"/>
  <c r="I52" i="40"/>
  <c r="M52" i="40" s="1"/>
  <c r="M53" i="40"/>
  <c r="I50" i="40"/>
  <c r="M50" i="40" s="1"/>
  <c r="I55" i="40"/>
  <c r="M55" i="40" s="1"/>
  <c r="I57" i="40"/>
  <c r="M57" i="40" s="1"/>
  <c r="I59" i="40"/>
  <c r="M59" i="40" s="1"/>
  <c r="I49" i="40"/>
  <c r="I51" i="40"/>
  <c r="M51" i="40" s="1"/>
  <c r="I54" i="40"/>
  <c r="M54" i="40" s="1"/>
  <c r="I56" i="40"/>
  <c r="M56" i="40" s="1"/>
  <c r="M58" i="40"/>
  <c r="I60" i="40"/>
  <c r="M60" i="40" s="1"/>
  <c r="I168" i="6"/>
  <c r="G165" i="6"/>
  <c r="I166" i="6" s="1"/>
  <c r="M155" i="6"/>
  <c r="M156" i="6" s="1"/>
  <c r="Q158" i="6"/>
  <c r="I157" i="6"/>
  <c r="X15" i="4"/>
  <c r="AB15" i="4" s="1"/>
  <c r="X10" i="4"/>
  <c r="AB10" i="4" s="1"/>
  <c r="AB58" i="31"/>
  <c r="AB53" i="31"/>
  <c r="AB58" i="35"/>
  <c r="AB53" i="35"/>
  <c r="X15" i="5"/>
  <c r="AB15" i="5" s="1"/>
  <c r="X10" i="5"/>
  <c r="AB10" i="5" s="1"/>
  <c r="X7" i="5"/>
  <c r="AB7" i="5" s="1"/>
  <c r="I148" i="6"/>
  <c r="E61" i="36"/>
  <c r="X60" i="36"/>
  <c r="T61" i="36"/>
  <c r="M111" i="6"/>
  <c r="M112" i="6" s="1"/>
  <c r="X60" i="34"/>
  <c r="T61" i="34"/>
  <c r="X60" i="32"/>
  <c r="AB60" i="32" s="1"/>
  <c r="AB61" i="32" s="1"/>
  <c r="T61" i="32"/>
  <c r="E61" i="34"/>
  <c r="X49" i="31"/>
  <c r="X50" i="31"/>
  <c r="AB50" i="31" s="1"/>
  <c r="X51" i="31"/>
  <c r="AB51" i="31" s="1"/>
  <c r="X52" i="31"/>
  <c r="AB52" i="31" s="1"/>
  <c r="X54" i="31"/>
  <c r="AB54" i="31" s="1"/>
  <c r="X55" i="31"/>
  <c r="AB55" i="31" s="1"/>
  <c r="X56" i="31"/>
  <c r="AB56" i="31" s="1"/>
  <c r="X57" i="31"/>
  <c r="AB57" i="31" s="1"/>
  <c r="X59" i="31"/>
  <c r="AB59" i="31" s="1"/>
  <c r="X60" i="31"/>
  <c r="AB60" i="31" s="1"/>
  <c r="X49" i="35"/>
  <c r="X50" i="35"/>
  <c r="AB50" i="35" s="1"/>
  <c r="X51" i="35"/>
  <c r="AB51" i="35" s="1"/>
  <c r="X52" i="35"/>
  <c r="AB52" i="35" s="1"/>
  <c r="X54" i="35"/>
  <c r="AB54" i="35" s="1"/>
  <c r="X55" i="35"/>
  <c r="AB55" i="35" s="1"/>
  <c r="X56" i="35"/>
  <c r="AB56" i="35" s="1"/>
  <c r="X57" i="35"/>
  <c r="AB57" i="35" s="1"/>
  <c r="X59" i="35"/>
  <c r="AB59" i="35" s="1"/>
  <c r="X60" i="35"/>
  <c r="AB60" i="35" s="1"/>
  <c r="X49" i="33"/>
  <c r="X50" i="33"/>
  <c r="AB50" i="33" s="1"/>
  <c r="X51" i="33"/>
  <c r="AB51" i="33" s="1"/>
  <c r="X52" i="33"/>
  <c r="AB52" i="33" s="1"/>
  <c r="X54" i="33"/>
  <c r="AB54" i="33" s="1"/>
  <c r="X55" i="33"/>
  <c r="AB55" i="33" s="1"/>
  <c r="X56" i="33"/>
  <c r="AB56" i="33" s="1"/>
  <c r="X57" i="33"/>
  <c r="AB57" i="33" s="1"/>
  <c r="X59" i="33"/>
  <c r="AB59" i="33" s="1"/>
  <c r="X60" i="33"/>
  <c r="AB60" i="33" s="1"/>
  <c r="J103" i="6"/>
  <c r="I110" i="6" s="1"/>
  <c r="I111" i="6" s="1"/>
  <c r="I155" i="6"/>
  <c r="H103" i="6"/>
  <c r="G110" i="6" s="1"/>
  <c r="G111" i="6" s="1"/>
  <c r="I146" i="6"/>
  <c r="X11" i="5"/>
  <c r="AB11" i="5" s="1"/>
  <c r="X13" i="5"/>
  <c r="AB13" i="5" s="1"/>
  <c r="X9" i="5"/>
  <c r="AB9" i="5" s="1"/>
  <c r="X14" i="5"/>
  <c r="AB14" i="5" s="1"/>
  <c r="X12" i="5"/>
  <c r="AB12" i="5" s="1"/>
  <c r="X8" i="5"/>
  <c r="AB8" i="5" s="1"/>
  <c r="X6" i="5"/>
  <c r="AB6" i="5" s="1"/>
  <c r="X16" i="5"/>
  <c r="AB16" i="5" s="1"/>
  <c r="X20" i="30"/>
  <c r="X21" i="30"/>
  <c r="AB21" i="30" s="1"/>
  <c r="X22" i="30"/>
  <c r="AB22" i="30" s="1"/>
  <c r="X23" i="30"/>
  <c r="AB23" i="30" s="1"/>
  <c r="AB24" i="30"/>
  <c r="X25" i="30"/>
  <c r="AB25" i="30" s="1"/>
  <c r="X26" i="30"/>
  <c r="AB26" i="30" s="1"/>
  <c r="X27" i="30"/>
  <c r="AB27" i="30" s="1"/>
  <c r="X28" i="30"/>
  <c r="AB28" i="30" s="1"/>
  <c r="AB29" i="30"/>
  <c r="X30" i="30"/>
  <c r="AB30" i="30" s="1"/>
  <c r="X31" i="30"/>
  <c r="AB31" i="30" s="1"/>
  <c r="X20" i="29"/>
  <c r="X21" i="29"/>
  <c r="AB21" i="29" s="1"/>
  <c r="X22" i="29"/>
  <c r="AB22" i="29" s="1"/>
  <c r="X23" i="29"/>
  <c r="AB23" i="29" s="1"/>
  <c r="AB24" i="29"/>
  <c r="X25" i="29"/>
  <c r="AB25" i="29" s="1"/>
  <c r="X26" i="29"/>
  <c r="AB26" i="29" s="1"/>
  <c r="X27" i="29"/>
  <c r="AB27" i="29" s="1"/>
  <c r="X28" i="29"/>
  <c r="AB28" i="29" s="1"/>
  <c r="AB29" i="29"/>
  <c r="X30" i="29"/>
  <c r="AB30" i="29" s="1"/>
  <c r="X31" i="29"/>
  <c r="AB31" i="29" s="1"/>
  <c r="X20" i="28"/>
  <c r="X21" i="28"/>
  <c r="AB21" i="28" s="1"/>
  <c r="X22" i="28"/>
  <c r="AB22" i="28" s="1"/>
  <c r="X23" i="28"/>
  <c r="AB23" i="28" s="1"/>
  <c r="AB24" i="28"/>
  <c r="X25" i="28"/>
  <c r="AB25" i="28" s="1"/>
  <c r="X26" i="28"/>
  <c r="AB26" i="28" s="1"/>
  <c r="X27" i="28"/>
  <c r="AB27" i="28" s="1"/>
  <c r="X28" i="28"/>
  <c r="AB28" i="28" s="1"/>
  <c r="AB29" i="28"/>
  <c r="X30" i="28"/>
  <c r="AB30" i="28" s="1"/>
  <c r="X31" i="28"/>
  <c r="AB31" i="28" s="1"/>
  <c r="X13" i="4"/>
  <c r="AB13" i="4" s="1"/>
  <c r="X9" i="4"/>
  <c r="AB9" i="4" s="1"/>
  <c r="X17" i="4"/>
  <c r="AB17" i="4" s="1"/>
  <c r="X11" i="4"/>
  <c r="AB11" i="4" s="1"/>
  <c r="X7" i="4"/>
  <c r="AB7" i="4" s="1"/>
  <c r="X16" i="4"/>
  <c r="AB16" i="4" s="1"/>
  <c r="X14" i="4"/>
  <c r="AB14" i="4" s="1"/>
  <c r="X12" i="4"/>
  <c r="AB12" i="4" s="1"/>
  <c r="X8" i="4"/>
  <c r="AB8" i="4" s="1"/>
  <c r="X6" i="4"/>
  <c r="AB6" i="4" s="1"/>
  <c r="T18" i="4"/>
  <c r="X17" i="5"/>
  <c r="AB17" i="5" s="1"/>
  <c r="T18" i="5"/>
  <c r="E11" i="5"/>
  <c r="E12" i="5" s="1"/>
  <c r="E13" i="5" s="1"/>
  <c r="E14" i="5" s="1"/>
  <c r="E15" i="5" s="1"/>
  <c r="E9" i="4"/>
  <c r="E10" i="4" s="1"/>
  <c r="E11" i="4" s="1"/>
  <c r="E12" i="4" s="1"/>
  <c r="E13" i="4" s="1"/>
  <c r="E14" i="4" s="1"/>
  <c r="E15" i="4" s="1"/>
  <c r="E16" i="4" s="1"/>
  <c r="E17" i="4" s="1"/>
  <c r="G10" i="4"/>
  <c r="G9" i="4"/>
  <c r="G7" i="4"/>
  <c r="G6" i="4"/>
  <c r="G9" i="5"/>
  <c r="G8" i="5"/>
  <c r="J13" i="36" l="1"/>
  <c r="L13" i="36" s="1"/>
  <c r="J12" i="36"/>
  <c r="L12" i="36" s="1"/>
  <c r="J11" i="36"/>
  <c r="J10" i="36"/>
  <c r="L10" i="36" s="1"/>
  <c r="J7" i="36"/>
  <c r="L7" i="36" s="1"/>
  <c r="J9" i="36"/>
  <c r="L9" i="36" s="1"/>
  <c r="J8" i="36"/>
  <c r="L8" i="36" s="1"/>
  <c r="J6" i="36"/>
  <c r="D33" i="34"/>
  <c r="J28" i="34" s="1"/>
  <c r="L28" i="34" s="1"/>
  <c r="J23" i="36"/>
  <c r="L11" i="36"/>
  <c r="D33" i="32"/>
  <c r="M32" i="52"/>
  <c r="AC31" i="50"/>
  <c r="AD31" i="50" s="1"/>
  <c r="N31" i="52"/>
  <c r="O31" i="52" s="1"/>
  <c r="N32" i="53"/>
  <c r="D33" i="53"/>
  <c r="J13" i="53" s="1"/>
  <c r="N31" i="50"/>
  <c r="O31" i="50" s="1"/>
  <c r="D33" i="39"/>
  <c r="J13" i="39" s="1"/>
  <c r="D33" i="38"/>
  <c r="J13" i="38" s="1"/>
  <c r="D33" i="40"/>
  <c r="J13" i="40" s="1"/>
  <c r="H32" i="52"/>
  <c r="M32" i="50"/>
  <c r="J28" i="36"/>
  <c r="L28" i="36" s="1"/>
  <c r="J30" i="36"/>
  <c r="L30" i="36" s="1"/>
  <c r="J26" i="36"/>
  <c r="L26" i="36" s="1"/>
  <c r="I53" i="34"/>
  <c r="I58" i="34"/>
  <c r="J27" i="36"/>
  <c r="L27" i="36" s="1"/>
  <c r="J29" i="36"/>
  <c r="L29" i="36" s="1"/>
  <c r="D33" i="35"/>
  <c r="J23" i="35" s="1"/>
  <c r="I53" i="53"/>
  <c r="M53" i="53" s="1"/>
  <c r="I55" i="53"/>
  <c r="M55" i="53" s="1"/>
  <c r="I57" i="53"/>
  <c r="M57" i="53" s="1"/>
  <c r="I52" i="53"/>
  <c r="M52" i="53" s="1"/>
  <c r="I49" i="53"/>
  <c r="I50" i="53"/>
  <c r="M50" i="53" s="1"/>
  <c r="I54" i="53"/>
  <c r="M54" i="53" s="1"/>
  <c r="I56" i="53"/>
  <c r="M56" i="53" s="1"/>
  <c r="I51" i="53"/>
  <c r="M51" i="53" s="1"/>
  <c r="I58" i="53"/>
  <c r="M58" i="53" s="1"/>
  <c r="I59" i="53"/>
  <c r="M59" i="53" s="1"/>
  <c r="I60" i="53"/>
  <c r="M60" i="53" s="1"/>
  <c r="J24" i="36"/>
  <c r="AA20" i="52"/>
  <c r="W32" i="52"/>
  <c r="I53" i="35"/>
  <c r="M53" i="35" s="1"/>
  <c r="I58" i="35"/>
  <c r="M58" i="35" s="1"/>
  <c r="J31" i="36"/>
  <c r="L31" i="36" s="1"/>
  <c r="AB32" i="50"/>
  <c r="I53" i="36"/>
  <c r="I58" i="36"/>
  <c r="N20" i="52"/>
  <c r="L32" i="52"/>
  <c r="W18" i="41"/>
  <c r="H32" i="50"/>
  <c r="W32" i="47"/>
  <c r="AA32" i="47"/>
  <c r="T34" i="47" s="1"/>
  <c r="D181" i="3" s="1"/>
  <c r="X61" i="48"/>
  <c r="AB61" i="48"/>
  <c r="AA20" i="50"/>
  <c r="W32" i="50"/>
  <c r="I53" i="33"/>
  <c r="M53" i="33" s="1"/>
  <c r="I58" i="33"/>
  <c r="M58" i="33" s="1"/>
  <c r="AB49" i="51"/>
  <c r="AB61" i="51" s="1"/>
  <c r="X61" i="51"/>
  <c r="D33" i="51"/>
  <c r="J13" i="51" s="1"/>
  <c r="D33" i="33"/>
  <c r="J23" i="33" s="1"/>
  <c r="I51" i="51"/>
  <c r="M51" i="51" s="1"/>
  <c r="I50" i="51"/>
  <c r="M50" i="51" s="1"/>
  <c r="I49" i="51"/>
  <c r="I52" i="51"/>
  <c r="M52" i="51" s="1"/>
  <c r="I53" i="51"/>
  <c r="M53" i="51" s="1"/>
  <c r="I54" i="51"/>
  <c r="M54" i="51" s="1"/>
  <c r="I55" i="51"/>
  <c r="M55" i="51" s="1"/>
  <c r="I56" i="51"/>
  <c r="M56" i="51" s="1"/>
  <c r="I57" i="51"/>
  <c r="M57" i="51" s="1"/>
  <c r="I58" i="51"/>
  <c r="M58" i="51" s="1"/>
  <c r="I59" i="51"/>
  <c r="M59" i="51" s="1"/>
  <c r="I60" i="51"/>
  <c r="M60" i="51" s="1"/>
  <c r="N20" i="50"/>
  <c r="L32" i="50"/>
  <c r="I53" i="32"/>
  <c r="I58" i="32"/>
  <c r="P24" i="31"/>
  <c r="P32" i="31" s="1"/>
  <c r="D49" i="31" s="1"/>
  <c r="I50" i="31" s="1"/>
  <c r="M50" i="31" s="1"/>
  <c r="N32" i="31"/>
  <c r="D33" i="31"/>
  <c r="J13" i="31" s="1"/>
  <c r="N32" i="48"/>
  <c r="P24" i="48"/>
  <c r="P32" i="48" s="1"/>
  <c r="D49" i="48" s="1"/>
  <c r="D33" i="48"/>
  <c r="J13" i="48" s="1"/>
  <c r="AC20" i="47"/>
  <c r="L20" i="47"/>
  <c r="H32" i="47"/>
  <c r="M49" i="38"/>
  <c r="M61" i="38" s="1"/>
  <c r="I61" i="38"/>
  <c r="I61" i="40"/>
  <c r="M49" i="40"/>
  <c r="M61" i="40" s="1"/>
  <c r="M49" i="39"/>
  <c r="M61" i="39" s="1"/>
  <c r="I61" i="39"/>
  <c r="I113" i="6"/>
  <c r="AC6" i="41"/>
  <c r="AA18" i="41"/>
  <c r="T20" i="41" s="1"/>
  <c r="T21" i="41" s="1"/>
  <c r="H11" i="6"/>
  <c r="D6" i="41"/>
  <c r="D6" i="5"/>
  <c r="D6" i="4"/>
  <c r="I12" i="4" s="1"/>
  <c r="M12" i="4" s="1"/>
  <c r="AB60" i="34"/>
  <c r="AB61" i="34" s="1"/>
  <c r="X61" i="34"/>
  <c r="X61" i="32"/>
  <c r="AB60" i="36"/>
  <c r="AB61" i="36" s="1"/>
  <c r="X61" i="36"/>
  <c r="AB49" i="35"/>
  <c r="AB61" i="35" s="1"/>
  <c r="X61" i="35"/>
  <c r="AB49" i="31"/>
  <c r="AB61" i="31" s="1"/>
  <c r="X61" i="31"/>
  <c r="I49" i="33"/>
  <c r="I50" i="33"/>
  <c r="M50" i="33" s="1"/>
  <c r="I51" i="33"/>
  <c r="M51" i="33" s="1"/>
  <c r="I52" i="33"/>
  <c r="M52" i="33" s="1"/>
  <c r="I54" i="33"/>
  <c r="M54" i="33" s="1"/>
  <c r="I55" i="33"/>
  <c r="M55" i="33" s="1"/>
  <c r="I56" i="33"/>
  <c r="M56" i="33" s="1"/>
  <c r="I57" i="33"/>
  <c r="M57" i="33" s="1"/>
  <c r="I59" i="33"/>
  <c r="M59" i="33" s="1"/>
  <c r="I60" i="33"/>
  <c r="M60" i="33" s="1"/>
  <c r="G155" i="6"/>
  <c r="I156" i="6" s="1"/>
  <c r="I112" i="6" s="1"/>
  <c r="C13" i="41" s="1"/>
  <c r="I158" i="6"/>
  <c r="I114" i="6" s="1"/>
  <c r="AB49" i="33"/>
  <c r="AB61" i="33" s="1"/>
  <c r="X61" i="33"/>
  <c r="I49" i="35"/>
  <c r="I51" i="35"/>
  <c r="M51" i="35" s="1"/>
  <c r="I50" i="35"/>
  <c r="M50" i="35" s="1"/>
  <c r="I52" i="35"/>
  <c r="M52" i="35" s="1"/>
  <c r="I54" i="35"/>
  <c r="M54" i="35" s="1"/>
  <c r="I55" i="35"/>
  <c r="M55" i="35" s="1"/>
  <c r="I56" i="35"/>
  <c r="M56" i="35" s="1"/>
  <c r="I57" i="35"/>
  <c r="M57" i="35" s="1"/>
  <c r="I59" i="35"/>
  <c r="M59" i="35" s="1"/>
  <c r="I60" i="35"/>
  <c r="M60" i="35" s="1"/>
  <c r="AB18" i="5"/>
  <c r="W20" i="28"/>
  <c r="W21" i="28"/>
  <c r="AA21" i="28" s="1"/>
  <c r="AC21" i="28" s="1"/>
  <c r="AD21" i="28" s="1"/>
  <c r="W22" i="28"/>
  <c r="AA22" i="28" s="1"/>
  <c r="AC22" i="28" s="1"/>
  <c r="AD22" i="28" s="1"/>
  <c r="W23" i="28"/>
  <c r="AA23" i="28" s="1"/>
  <c r="AC23" i="28" s="1"/>
  <c r="AD23" i="28" s="1"/>
  <c r="AA24" i="28"/>
  <c r="AC24" i="28" s="1"/>
  <c r="AD24" i="28" s="1"/>
  <c r="W25" i="28"/>
  <c r="AA25" i="28" s="1"/>
  <c r="AC25" i="28" s="1"/>
  <c r="AD25" i="28" s="1"/>
  <c r="W26" i="28"/>
  <c r="AA26" i="28" s="1"/>
  <c r="AC26" i="28" s="1"/>
  <c r="AD26" i="28" s="1"/>
  <c r="W27" i="28"/>
  <c r="AA27" i="28" s="1"/>
  <c r="AC27" i="28" s="1"/>
  <c r="AD27" i="28" s="1"/>
  <c r="W28" i="28"/>
  <c r="AA28" i="28" s="1"/>
  <c r="AC28" i="28" s="1"/>
  <c r="AD28" i="28" s="1"/>
  <c r="AA29" i="28"/>
  <c r="AC29" i="28" s="1"/>
  <c r="AD29" i="28" s="1"/>
  <c r="W30" i="28"/>
  <c r="AA30" i="28" s="1"/>
  <c r="AC30" i="28" s="1"/>
  <c r="AD30" i="28" s="1"/>
  <c r="W31" i="28"/>
  <c r="AA31" i="28" s="1"/>
  <c r="AC31" i="28" s="1"/>
  <c r="AD31" i="28" s="1"/>
  <c r="W20" i="30"/>
  <c r="W21" i="30"/>
  <c r="AA21" i="30" s="1"/>
  <c r="AC21" i="30" s="1"/>
  <c r="AD21" i="30" s="1"/>
  <c r="W22" i="30"/>
  <c r="AA22" i="30" s="1"/>
  <c r="AC22" i="30" s="1"/>
  <c r="AD22" i="30" s="1"/>
  <c r="W23" i="30"/>
  <c r="AA23" i="30" s="1"/>
  <c r="AC23" i="30" s="1"/>
  <c r="AD23" i="30" s="1"/>
  <c r="AA24" i="30"/>
  <c r="AC24" i="30" s="1"/>
  <c r="AD24" i="30" s="1"/>
  <c r="W25" i="30"/>
  <c r="AA25" i="30" s="1"/>
  <c r="AC25" i="30" s="1"/>
  <c r="AD25" i="30" s="1"/>
  <c r="W26" i="30"/>
  <c r="AA26" i="30" s="1"/>
  <c r="AC26" i="30" s="1"/>
  <c r="AD26" i="30" s="1"/>
  <c r="W27" i="30"/>
  <c r="AA27" i="30" s="1"/>
  <c r="AC27" i="30" s="1"/>
  <c r="AD27" i="30" s="1"/>
  <c r="W28" i="30"/>
  <c r="AA28" i="30" s="1"/>
  <c r="AC28" i="30" s="1"/>
  <c r="AD28" i="30" s="1"/>
  <c r="AA29" i="30"/>
  <c r="AC29" i="30" s="1"/>
  <c r="AD29" i="30" s="1"/>
  <c r="W30" i="30"/>
  <c r="AA30" i="30" s="1"/>
  <c r="AC30" i="30" s="1"/>
  <c r="AD30" i="30" s="1"/>
  <c r="W31" i="30"/>
  <c r="AA31" i="30" s="1"/>
  <c r="AC31" i="30" s="1"/>
  <c r="AD31" i="30" s="1"/>
  <c r="AB20" i="30"/>
  <c r="AB32" i="30" s="1"/>
  <c r="X32" i="30"/>
  <c r="I20" i="29"/>
  <c r="M24" i="29"/>
  <c r="I22" i="29"/>
  <c r="M22" i="29" s="1"/>
  <c r="I21" i="29"/>
  <c r="M21" i="29" s="1"/>
  <c r="I23" i="29"/>
  <c r="M23" i="29" s="1"/>
  <c r="I25" i="29"/>
  <c r="M25" i="29" s="1"/>
  <c r="I26" i="29"/>
  <c r="M26" i="29" s="1"/>
  <c r="I27" i="29"/>
  <c r="M27" i="29" s="1"/>
  <c r="I28" i="29"/>
  <c r="M28" i="29" s="1"/>
  <c r="M29" i="29"/>
  <c r="I30" i="29"/>
  <c r="M30" i="29" s="1"/>
  <c r="I31" i="29"/>
  <c r="M31" i="29" s="1"/>
  <c r="AB20" i="28"/>
  <c r="AB32" i="28" s="1"/>
  <c r="X32" i="28"/>
  <c r="AB20" i="29"/>
  <c r="AB32" i="29" s="1"/>
  <c r="X32" i="29"/>
  <c r="W20" i="29"/>
  <c r="W21" i="29"/>
  <c r="AA21" i="29" s="1"/>
  <c r="AC21" i="29" s="1"/>
  <c r="AD21" i="29" s="1"/>
  <c r="W22" i="29"/>
  <c r="AA22" i="29" s="1"/>
  <c r="AC22" i="29" s="1"/>
  <c r="AD22" i="29" s="1"/>
  <c r="W23" i="29"/>
  <c r="AA23" i="29" s="1"/>
  <c r="AC23" i="29" s="1"/>
  <c r="AD23" i="29" s="1"/>
  <c r="AA24" i="29"/>
  <c r="AC24" i="29" s="1"/>
  <c r="AD24" i="29" s="1"/>
  <c r="W25" i="29"/>
  <c r="AA25" i="29" s="1"/>
  <c r="AC25" i="29" s="1"/>
  <c r="AD25" i="29" s="1"/>
  <c r="W26" i="29"/>
  <c r="AA26" i="29" s="1"/>
  <c r="AC26" i="29" s="1"/>
  <c r="AD26" i="29" s="1"/>
  <c r="W27" i="29"/>
  <c r="AA27" i="29" s="1"/>
  <c r="AC27" i="29" s="1"/>
  <c r="AD27" i="29" s="1"/>
  <c r="W28" i="29"/>
  <c r="AA28" i="29" s="1"/>
  <c r="AC28" i="29" s="1"/>
  <c r="AD28" i="29" s="1"/>
  <c r="AA29" i="29"/>
  <c r="AC29" i="29" s="1"/>
  <c r="AD29" i="29" s="1"/>
  <c r="W30" i="29"/>
  <c r="AA30" i="29" s="1"/>
  <c r="AC30" i="29" s="1"/>
  <c r="AD30" i="29" s="1"/>
  <c r="W31" i="29"/>
  <c r="AA31" i="29" s="1"/>
  <c r="AC31" i="29" s="1"/>
  <c r="AD31" i="29" s="1"/>
  <c r="I20" i="28"/>
  <c r="I21" i="28"/>
  <c r="M21" i="28" s="1"/>
  <c r="I22" i="28"/>
  <c r="M22" i="28" s="1"/>
  <c r="M24" i="28"/>
  <c r="I23" i="28"/>
  <c r="M23" i="28" s="1"/>
  <c r="I25" i="28"/>
  <c r="M25" i="28" s="1"/>
  <c r="I26" i="28"/>
  <c r="M26" i="28" s="1"/>
  <c r="I27" i="28"/>
  <c r="M27" i="28" s="1"/>
  <c r="I28" i="28"/>
  <c r="M28" i="28" s="1"/>
  <c r="M29" i="28"/>
  <c r="I30" i="28"/>
  <c r="M30" i="28" s="1"/>
  <c r="I31" i="28"/>
  <c r="M31" i="28" s="1"/>
  <c r="I20" i="30"/>
  <c r="M24" i="30"/>
  <c r="I22" i="30"/>
  <c r="M22" i="30" s="1"/>
  <c r="I21" i="30"/>
  <c r="M21" i="30" s="1"/>
  <c r="I23" i="30"/>
  <c r="M23" i="30" s="1"/>
  <c r="I25" i="30"/>
  <c r="M25" i="30" s="1"/>
  <c r="I26" i="30"/>
  <c r="M26" i="30" s="1"/>
  <c r="I27" i="30"/>
  <c r="M27" i="30" s="1"/>
  <c r="I28" i="30"/>
  <c r="M28" i="30" s="1"/>
  <c r="M29" i="30"/>
  <c r="I30" i="30"/>
  <c r="M30" i="30" s="1"/>
  <c r="I31" i="30"/>
  <c r="M31" i="30" s="1"/>
  <c r="AB18" i="4"/>
  <c r="X18" i="4"/>
  <c r="X18" i="5"/>
  <c r="E16" i="5"/>
  <c r="E18" i="4"/>
  <c r="J6" i="39" l="1"/>
  <c r="J7" i="34"/>
  <c r="L7" i="34" s="1"/>
  <c r="J7" i="40"/>
  <c r="J9" i="34"/>
  <c r="L9" i="34" s="1"/>
  <c r="J8" i="40"/>
  <c r="L8" i="40" s="1"/>
  <c r="J11" i="34"/>
  <c r="L11" i="34" s="1"/>
  <c r="J8" i="34"/>
  <c r="L8" i="34" s="1"/>
  <c r="J10" i="40"/>
  <c r="L10" i="40" s="1"/>
  <c r="J6" i="34"/>
  <c r="L6" i="34" s="1"/>
  <c r="J30" i="34"/>
  <c r="L30" i="34" s="1"/>
  <c r="J8" i="39"/>
  <c r="L8" i="39" s="1"/>
  <c r="J8" i="38"/>
  <c r="L8" i="38" s="1"/>
  <c r="J9" i="39"/>
  <c r="L9" i="39" s="1"/>
  <c r="J9" i="38"/>
  <c r="L9" i="38" s="1"/>
  <c r="J9" i="40"/>
  <c r="L9" i="40" s="1"/>
  <c r="J10" i="39"/>
  <c r="L10" i="39" s="1"/>
  <c r="J6" i="38"/>
  <c r="J6" i="40"/>
  <c r="J11" i="39"/>
  <c r="J10" i="34"/>
  <c r="L10" i="34" s="1"/>
  <c r="J10" i="38"/>
  <c r="L10" i="38" s="1"/>
  <c r="J11" i="38"/>
  <c r="L11" i="38" s="1"/>
  <c r="J11" i="40"/>
  <c r="L11" i="40" s="1"/>
  <c r="J7" i="39"/>
  <c r="L7" i="39" s="1"/>
  <c r="J7" i="38"/>
  <c r="L7" i="38" s="1"/>
  <c r="J31" i="32"/>
  <c r="L31" i="32" s="1"/>
  <c r="J13" i="32"/>
  <c r="J12" i="32"/>
  <c r="L12" i="32" s="1"/>
  <c r="J8" i="32"/>
  <c r="L8" i="32" s="1"/>
  <c r="J11" i="32"/>
  <c r="L11" i="32" s="1"/>
  <c r="J10" i="32"/>
  <c r="L10" i="32" s="1"/>
  <c r="J7" i="32"/>
  <c r="L7" i="32" s="1"/>
  <c r="J6" i="32"/>
  <c r="L6" i="32" s="1"/>
  <c r="J9" i="32"/>
  <c r="L9" i="32" s="1"/>
  <c r="J12" i="40"/>
  <c r="J12" i="39"/>
  <c r="L12" i="39" s="1"/>
  <c r="J12" i="34"/>
  <c r="L12" i="34" s="1"/>
  <c r="J12" i="38"/>
  <c r="L12" i="38" s="1"/>
  <c r="J13" i="34"/>
  <c r="L13" i="34" s="1"/>
  <c r="J7" i="33"/>
  <c r="L7" i="33" s="1"/>
  <c r="J10" i="33"/>
  <c r="L10" i="33" s="1"/>
  <c r="J6" i="35"/>
  <c r="J8" i="51"/>
  <c r="L8" i="51" s="1"/>
  <c r="J6" i="51"/>
  <c r="J6" i="48"/>
  <c r="J8" i="31"/>
  <c r="L8" i="31" s="1"/>
  <c r="J9" i="48"/>
  <c r="L9" i="48" s="1"/>
  <c r="J11" i="31"/>
  <c r="L11" i="31" s="1"/>
  <c r="J8" i="53"/>
  <c r="L8" i="53" s="1"/>
  <c r="J8" i="35"/>
  <c r="L8" i="35" s="1"/>
  <c r="J6" i="31"/>
  <c r="J10" i="53"/>
  <c r="L10" i="53" s="1"/>
  <c r="J11" i="33"/>
  <c r="L11" i="33" s="1"/>
  <c r="J9" i="51"/>
  <c r="L9" i="51" s="1"/>
  <c r="J10" i="48"/>
  <c r="L10" i="48" s="1"/>
  <c r="J7" i="35"/>
  <c r="L7" i="35" s="1"/>
  <c r="J7" i="31"/>
  <c r="L7" i="31" s="1"/>
  <c r="J11" i="53"/>
  <c r="J8" i="33"/>
  <c r="L8" i="33" s="1"/>
  <c r="J10" i="51"/>
  <c r="L10" i="51" s="1"/>
  <c r="J11" i="48"/>
  <c r="L11" i="48" s="1"/>
  <c r="J10" i="35"/>
  <c r="L10" i="35" s="1"/>
  <c r="J9" i="53"/>
  <c r="L9" i="53" s="1"/>
  <c r="J9" i="31"/>
  <c r="L9" i="31" s="1"/>
  <c r="J7" i="53"/>
  <c r="L7" i="53" s="1"/>
  <c r="J12" i="33"/>
  <c r="L12" i="33" s="1"/>
  <c r="J11" i="51"/>
  <c r="L11" i="51" s="1"/>
  <c r="J7" i="48"/>
  <c r="L7" i="48" s="1"/>
  <c r="J11" i="35"/>
  <c r="L11" i="35" s="1"/>
  <c r="J10" i="31"/>
  <c r="L10" i="31" s="1"/>
  <c r="J12" i="53"/>
  <c r="L12" i="53" s="1"/>
  <c r="J6" i="33"/>
  <c r="J7" i="51"/>
  <c r="L7" i="51" s="1"/>
  <c r="J8" i="48"/>
  <c r="L8" i="48" s="1"/>
  <c r="J9" i="35"/>
  <c r="J12" i="31"/>
  <c r="L12" i="31" s="1"/>
  <c r="J6" i="53"/>
  <c r="J9" i="33"/>
  <c r="L9" i="33" s="1"/>
  <c r="J12" i="51"/>
  <c r="L12" i="51" s="1"/>
  <c r="J12" i="48"/>
  <c r="L12" i="48" s="1"/>
  <c r="J12" i="35"/>
  <c r="L12" i="35" s="1"/>
  <c r="J13" i="33"/>
  <c r="L13" i="33" s="1"/>
  <c r="J13" i="35"/>
  <c r="L13" i="35" s="1"/>
  <c r="J31" i="34"/>
  <c r="L31" i="34" s="1"/>
  <c r="J23" i="34"/>
  <c r="J29" i="34"/>
  <c r="L29" i="34" s="1"/>
  <c r="J24" i="34"/>
  <c r="L24" i="34" s="1"/>
  <c r="J25" i="34"/>
  <c r="L25" i="34" s="1"/>
  <c r="J27" i="34"/>
  <c r="L27" i="34" s="1"/>
  <c r="J26" i="34"/>
  <c r="L26" i="34" s="1"/>
  <c r="J28" i="32"/>
  <c r="L28" i="32" s="1"/>
  <c r="J27" i="32"/>
  <c r="L27" i="32" s="1"/>
  <c r="J26" i="32"/>
  <c r="L26" i="32" s="1"/>
  <c r="J23" i="32"/>
  <c r="J30" i="32"/>
  <c r="L30" i="32" s="1"/>
  <c r="J29" i="32"/>
  <c r="L29" i="32" s="1"/>
  <c r="J25" i="32"/>
  <c r="L25" i="32" s="1"/>
  <c r="J24" i="32"/>
  <c r="L24" i="32" s="1"/>
  <c r="L13" i="32"/>
  <c r="J14" i="36"/>
  <c r="L6" i="36"/>
  <c r="L14" i="36" s="1"/>
  <c r="R56" i="36" s="1"/>
  <c r="W51" i="36" s="1"/>
  <c r="AA51" i="36" s="1"/>
  <c r="AC51" i="36" s="1"/>
  <c r="AD51" i="36" s="1"/>
  <c r="J31" i="40"/>
  <c r="L31" i="40" s="1"/>
  <c r="L7" i="40"/>
  <c r="L12" i="40"/>
  <c r="L13" i="40"/>
  <c r="J23" i="40"/>
  <c r="J29" i="53"/>
  <c r="L29" i="53" s="1"/>
  <c r="L11" i="53"/>
  <c r="L13" i="53"/>
  <c r="J23" i="53"/>
  <c r="J27" i="48"/>
  <c r="L27" i="48" s="1"/>
  <c r="L13" i="48"/>
  <c r="J27" i="51"/>
  <c r="L27" i="51" s="1"/>
  <c r="L13" i="51"/>
  <c r="J28" i="31"/>
  <c r="L28" i="31" s="1"/>
  <c r="L13" i="31"/>
  <c r="J23" i="48"/>
  <c r="J31" i="35"/>
  <c r="L31" i="35" s="1"/>
  <c r="L9" i="35"/>
  <c r="J23" i="31"/>
  <c r="J31" i="33"/>
  <c r="L31" i="33" s="1"/>
  <c r="J23" i="51"/>
  <c r="E34" i="52"/>
  <c r="F176" i="3" s="1"/>
  <c r="J27" i="38"/>
  <c r="L27" i="38" s="1"/>
  <c r="L13" i="38"/>
  <c r="J28" i="39"/>
  <c r="L28" i="39" s="1"/>
  <c r="L11" i="39"/>
  <c r="L13" i="39"/>
  <c r="J23" i="39"/>
  <c r="J26" i="53"/>
  <c r="L26" i="53" s="1"/>
  <c r="J24" i="53"/>
  <c r="L24" i="53" s="1"/>
  <c r="J27" i="53"/>
  <c r="L27" i="53" s="1"/>
  <c r="J30" i="53"/>
  <c r="L30" i="53" s="1"/>
  <c r="J25" i="53"/>
  <c r="L25" i="53" s="1"/>
  <c r="J29" i="40"/>
  <c r="L29" i="40" s="1"/>
  <c r="J27" i="40"/>
  <c r="L27" i="40" s="1"/>
  <c r="J24" i="40"/>
  <c r="L24" i="40" s="1"/>
  <c r="J28" i="53"/>
  <c r="L28" i="53" s="1"/>
  <c r="J31" i="53"/>
  <c r="L31" i="53" s="1"/>
  <c r="J31" i="39"/>
  <c r="L31" i="39" s="1"/>
  <c r="J24" i="39"/>
  <c r="L24" i="39" s="1"/>
  <c r="J25" i="39"/>
  <c r="L25" i="39" s="1"/>
  <c r="J29" i="39"/>
  <c r="L29" i="39" s="1"/>
  <c r="J26" i="39"/>
  <c r="L26" i="39" s="1"/>
  <c r="J30" i="39"/>
  <c r="L30" i="39" s="1"/>
  <c r="J27" i="39"/>
  <c r="L27" i="39" s="1"/>
  <c r="E34" i="50"/>
  <c r="E176" i="3" s="1"/>
  <c r="J29" i="38"/>
  <c r="L29" i="38" s="1"/>
  <c r="J31" i="38"/>
  <c r="L31" i="38" s="1"/>
  <c r="J28" i="38"/>
  <c r="L28" i="38" s="1"/>
  <c r="J23" i="38"/>
  <c r="J26" i="38"/>
  <c r="L26" i="38" s="1"/>
  <c r="J25" i="38"/>
  <c r="L25" i="38" s="1"/>
  <c r="J24" i="38"/>
  <c r="L24" i="38" s="1"/>
  <c r="J30" i="38"/>
  <c r="L30" i="38" s="1"/>
  <c r="J25" i="40"/>
  <c r="L25" i="40" s="1"/>
  <c r="J28" i="40"/>
  <c r="L28" i="40" s="1"/>
  <c r="J26" i="40"/>
  <c r="L26" i="40" s="1"/>
  <c r="J30" i="40"/>
  <c r="L30" i="40" s="1"/>
  <c r="J26" i="35"/>
  <c r="L26" i="35" s="1"/>
  <c r="J29" i="35"/>
  <c r="L29" i="35" s="1"/>
  <c r="J27" i="35"/>
  <c r="L27" i="35" s="1"/>
  <c r="AC20" i="52"/>
  <c r="AA32" i="52"/>
  <c r="T34" i="52" s="1"/>
  <c r="F181" i="3" s="1"/>
  <c r="J30" i="35"/>
  <c r="L30" i="35" s="1"/>
  <c r="J24" i="35"/>
  <c r="L24" i="36"/>
  <c r="L32" i="36" s="1"/>
  <c r="C56" i="36" s="1"/>
  <c r="J32" i="36"/>
  <c r="M49" i="53"/>
  <c r="M61" i="53" s="1"/>
  <c r="I61" i="53"/>
  <c r="J25" i="35"/>
  <c r="L25" i="35" s="1"/>
  <c r="J28" i="35"/>
  <c r="L28" i="35" s="1"/>
  <c r="O20" i="52"/>
  <c r="O32" i="52" s="1"/>
  <c r="N32" i="52"/>
  <c r="I57" i="31"/>
  <c r="M57" i="31" s="1"/>
  <c r="I60" i="31"/>
  <c r="M60" i="31" s="1"/>
  <c r="I49" i="31"/>
  <c r="M49" i="31" s="1"/>
  <c r="J28" i="51"/>
  <c r="L28" i="51" s="1"/>
  <c r="I59" i="31"/>
  <c r="M59" i="31" s="1"/>
  <c r="I52" i="31"/>
  <c r="M52" i="31" s="1"/>
  <c r="I56" i="31"/>
  <c r="M56" i="31" s="1"/>
  <c r="I55" i="31"/>
  <c r="M55" i="31" s="1"/>
  <c r="I54" i="31"/>
  <c r="M54" i="31" s="1"/>
  <c r="I51" i="31"/>
  <c r="M51" i="31" s="1"/>
  <c r="J29" i="33"/>
  <c r="L29" i="33" s="1"/>
  <c r="J30" i="33"/>
  <c r="L30" i="33" s="1"/>
  <c r="J28" i="33"/>
  <c r="L28" i="33" s="1"/>
  <c r="M49" i="51"/>
  <c r="M61" i="51" s="1"/>
  <c r="I61" i="51"/>
  <c r="J29" i="51"/>
  <c r="L29" i="51" s="1"/>
  <c r="J31" i="51"/>
  <c r="L31" i="51" s="1"/>
  <c r="J26" i="33"/>
  <c r="L26" i="33" s="1"/>
  <c r="J30" i="51"/>
  <c r="L30" i="51" s="1"/>
  <c r="J27" i="33"/>
  <c r="L27" i="33" s="1"/>
  <c r="J26" i="51"/>
  <c r="L26" i="51" s="1"/>
  <c r="J25" i="33"/>
  <c r="L25" i="33" s="1"/>
  <c r="O20" i="50"/>
  <c r="O32" i="50" s="1"/>
  <c r="N32" i="50"/>
  <c r="J24" i="51"/>
  <c r="J24" i="33"/>
  <c r="J25" i="51"/>
  <c r="L25" i="51" s="1"/>
  <c r="AC20" i="50"/>
  <c r="AA32" i="50"/>
  <c r="T34" i="50" s="1"/>
  <c r="E181" i="3" s="1"/>
  <c r="I58" i="48"/>
  <c r="M58" i="48" s="1"/>
  <c r="I53" i="48"/>
  <c r="M53" i="48" s="1"/>
  <c r="I54" i="48"/>
  <c r="M54" i="48" s="1"/>
  <c r="I55" i="48"/>
  <c r="M55" i="48" s="1"/>
  <c r="I56" i="48"/>
  <c r="M56" i="48" s="1"/>
  <c r="I49" i="48"/>
  <c r="I57" i="48"/>
  <c r="M57" i="48" s="1"/>
  <c r="I59" i="48"/>
  <c r="M59" i="48" s="1"/>
  <c r="I50" i="48"/>
  <c r="M50" i="48" s="1"/>
  <c r="I51" i="48"/>
  <c r="M51" i="48" s="1"/>
  <c r="I52" i="48"/>
  <c r="M52" i="48" s="1"/>
  <c r="I60" i="48"/>
  <c r="M60" i="48" s="1"/>
  <c r="J24" i="48"/>
  <c r="L24" i="48" s="1"/>
  <c r="J25" i="48"/>
  <c r="L25" i="48" s="1"/>
  <c r="J26" i="48"/>
  <c r="L26" i="48" s="1"/>
  <c r="J28" i="48"/>
  <c r="L28" i="48" s="1"/>
  <c r="J26" i="31"/>
  <c r="L26" i="31" s="1"/>
  <c r="J30" i="31"/>
  <c r="L30" i="31" s="1"/>
  <c r="J29" i="48"/>
  <c r="L29" i="48" s="1"/>
  <c r="J31" i="48"/>
  <c r="L31" i="48" s="1"/>
  <c r="J25" i="31"/>
  <c r="L25" i="31" s="1"/>
  <c r="J29" i="31"/>
  <c r="L29" i="31" s="1"/>
  <c r="J27" i="31"/>
  <c r="L27" i="31" s="1"/>
  <c r="J31" i="31"/>
  <c r="L31" i="31" s="1"/>
  <c r="I58" i="31"/>
  <c r="M58" i="31" s="1"/>
  <c r="I53" i="31"/>
  <c r="M53" i="31" s="1"/>
  <c r="J30" i="48"/>
  <c r="L30" i="48" s="1"/>
  <c r="J24" i="31"/>
  <c r="N20" i="47"/>
  <c r="L32" i="47"/>
  <c r="E34" i="47" s="1"/>
  <c r="D176" i="3" s="1"/>
  <c r="AD20" i="47"/>
  <c r="AD32" i="47" s="1"/>
  <c r="AC32" i="47"/>
  <c r="T35" i="47"/>
  <c r="D179" i="3" s="1"/>
  <c r="I16" i="5"/>
  <c r="M16" i="5" s="1"/>
  <c r="I11" i="4"/>
  <c r="M11" i="4" s="1"/>
  <c r="AD6" i="41"/>
  <c r="AD18" i="41" s="1"/>
  <c r="AC18" i="41"/>
  <c r="H10" i="41"/>
  <c r="L10" i="41" s="1"/>
  <c r="H9" i="41"/>
  <c r="L9" i="41" s="1"/>
  <c r="H6" i="41"/>
  <c r="H7" i="41"/>
  <c r="L7" i="41" s="1"/>
  <c r="H8" i="41"/>
  <c r="L8" i="41" s="1"/>
  <c r="H11" i="41"/>
  <c r="L11" i="41" s="1"/>
  <c r="H12" i="41"/>
  <c r="L12" i="41" s="1"/>
  <c r="H13" i="41"/>
  <c r="L13" i="41" s="1"/>
  <c r="H14" i="41"/>
  <c r="L14" i="41" s="1"/>
  <c r="H15" i="41"/>
  <c r="L15" i="41" s="1"/>
  <c r="H16" i="41"/>
  <c r="L16" i="41" s="1"/>
  <c r="H17" i="41"/>
  <c r="L17" i="41" s="1"/>
  <c r="I49" i="36"/>
  <c r="I50" i="36"/>
  <c r="M50" i="36" s="1"/>
  <c r="I51" i="36"/>
  <c r="M51" i="36" s="1"/>
  <c r="I52" i="36"/>
  <c r="M52" i="36" s="1"/>
  <c r="M53" i="36"/>
  <c r="I54" i="36"/>
  <c r="M54" i="36" s="1"/>
  <c r="I55" i="36"/>
  <c r="M55" i="36" s="1"/>
  <c r="I56" i="36"/>
  <c r="M56" i="36" s="1"/>
  <c r="I57" i="36"/>
  <c r="M57" i="36" s="1"/>
  <c r="M58" i="36"/>
  <c r="I59" i="36"/>
  <c r="M59" i="36" s="1"/>
  <c r="I60" i="36"/>
  <c r="M60" i="36" s="1"/>
  <c r="I49" i="34"/>
  <c r="I50" i="34"/>
  <c r="M50" i="34" s="1"/>
  <c r="I51" i="34"/>
  <c r="M51" i="34" s="1"/>
  <c r="I52" i="34"/>
  <c r="M52" i="34" s="1"/>
  <c r="M53" i="34"/>
  <c r="I54" i="34"/>
  <c r="M54" i="34" s="1"/>
  <c r="I55" i="34"/>
  <c r="M55" i="34" s="1"/>
  <c r="I56" i="34"/>
  <c r="M56" i="34" s="1"/>
  <c r="I57" i="34"/>
  <c r="M57" i="34" s="1"/>
  <c r="M58" i="34"/>
  <c r="I59" i="34"/>
  <c r="M59" i="34" s="1"/>
  <c r="I60" i="34"/>
  <c r="M60" i="34" s="1"/>
  <c r="I6" i="41"/>
  <c r="I7" i="41"/>
  <c r="M7" i="41" s="1"/>
  <c r="I8" i="41"/>
  <c r="M8" i="41" s="1"/>
  <c r="I10" i="41"/>
  <c r="M10" i="41" s="1"/>
  <c r="I9" i="41"/>
  <c r="M9" i="41" s="1"/>
  <c r="I11" i="41"/>
  <c r="M11" i="41" s="1"/>
  <c r="I12" i="41"/>
  <c r="M12" i="41" s="1"/>
  <c r="I13" i="41"/>
  <c r="M13" i="41" s="1"/>
  <c r="I14" i="41"/>
  <c r="M14" i="41" s="1"/>
  <c r="I15" i="41"/>
  <c r="M15" i="41" s="1"/>
  <c r="I16" i="41"/>
  <c r="M16" i="41" s="1"/>
  <c r="I17" i="41"/>
  <c r="M17" i="41" s="1"/>
  <c r="I49" i="32"/>
  <c r="I50" i="32"/>
  <c r="M50" i="32" s="1"/>
  <c r="I51" i="32"/>
  <c r="M51" i="32" s="1"/>
  <c r="I52" i="32"/>
  <c r="M52" i="32" s="1"/>
  <c r="M53" i="32"/>
  <c r="I54" i="32"/>
  <c r="M54" i="32" s="1"/>
  <c r="I55" i="32"/>
  <c r="M55" i="32" s="1"/>
  <c r="I56" i="32"/>
  <c r="M56" i="32" s="1"/>
  <c r="I57" i="32"/>
  <c r="M57" i="32" s="1"/>
  <c r="M58" i="32"/>
  <c r="I59" i="32"/>
  <c r="M59" i="32" s="1"/>
  <c r="I60" i="32"/>
  <c r="M60" i="32" s="1"/>
  <c r="I15" i="4"/>
  <c r="M15" i="4" s="1"/>
  <c r="I10" i="4"/>
  <c r="M10" i="4" s="1"/>
  <c r="I7" i="5"/>
  <c r="M7" i="5" s="1"/>
  <c r="I15" i="5"/>
  <c r="M15" i="5" s="1"/>
  <c r="I10" i="5"/>
  <c r="M10" i="5" s="1"/>
  <c r="I12" i="5"/>
  <c r="M12" i="5" s="1"/>
  <c r="I13" i="5"/>
  <c r="M13" i="5" s="1"/>
  <c r="I6" i="5"/>
  <c r="M6" i="5" s="1"/>
  <c r="I16" i="4"/>
  <c r="M16" i="4" s="1"/>
  <c r="I7" i="4"/>
  <c r="M7" i="4" s="1"/>
  <c r="I6" i="4"/>
  <c r="M6" i="4" s="1"/>
  <c r="I14" i="5"/>
  <c r="M14" i="5" s="1"/>
  <c r="I11" i="5"/>
  <c r="M11" i="5" s="1"/>
  <c r="I9" i="5"/>
  <c r="M9" i="5" s="1"/>
  <c r="I8" i="5"/>
  <c r="M8" i="5" s="1"/>
  <c r="I8" i="4"/>
  <c r="M8" i="4" s="1"/>
  <c r="I14" i="4"/>
  <c r="M14" i="4" s="1"/>
  <c r="C13" i="4"/>
  <c r="H8" i="4" s="1"/>
  <c r="I13" i="4"/>
  <c r="M13" i="4" s="1"/>
  <c r="I17" i="4"/>
  <c r="M17" i="4" s="1"/>
  <c r="I9" i="4"/>
  <c r="M9" i="4" s="1"/>
  <c r="H10" i="6"/>
  <c r="M49" i="35"/>
  <c r="M61" i="35" s="1"/>
  <c r="I61" i="35"/>
  <c r="C13" i="5"/>
  <c r="M49" i="33"/>
  <c r="M61" i="33" s="1"/>
  <c r="I61" i="33"/>
  <c r="AA20" i="30"/>
  <c r="W32" i="30"/>
  <c r="AA20" i="28"/>
  <c r="W32" i="28"/>
  <c r="H20" i="29"/>
  <c r="L24" i="29"/>
  <c r="N24" i="29" s="1"/>
  <c r="O24" i="29" s="1"/>
  <c r="H21" i="29"/>
  <c r="L21" i="29" s="1"/>
  <c r="N21" i="29" s="1"/>
  <c r="O21" i="29" s="1"/>
  <c r="H22" i="29"/>
  <c r="L22" i="29" s="1"/>
  <c r="N22" i="29" s="1"/>
  <c r="O22" i="29" s="1"/>
  <c r="H23" i="29"/>
  <c r="L23" i="29" s="1"/>
  <c r="N23" i="29" s="1"/>
  <c r="O23" i="29" s="1"/>
  <c r="H25" i="29"/>
  <c r="L25" i="29" s="1"/>
  <c r="N25" i="29" s="1"/>
  <c r="O25" i="29" s="1"/>
  <c r="H26" i="29"/>
  <c r="L26" i="29" s="1"/>
  <c r="N26" i="29" s="1"/>
  <c r="O26" i="29" s="1"/>
  <c r="H27" i="29"/>
  <c r="L27" i="29" s="1"/>
  <c r="N27" i="29" s="1"/>
  <c r="O27" i="29" s="1"/>
  <c r="H28" i="29"/>
  <c r="L28" i="29" s="1"/>
  <c r="N28" i="29" s="1"/>
  <c r="O28" i="29" s="1"/>
  <c r="L29" i="29"/>
  <c r="N29" i="29" s="1"/>
  <c r="O29" i="29" s="1"/>
  <c r="H30" i="29"/>
  <c r="L30" i="29" s="1"/>
  <c r="N30" i="29" s="1"/>
  <c r="O30" i="29" s="1"/>
  <c r="H31" i="29"/>
  <c r="L31" i="29" s="1"/>
  <c r="N31" i="29" s="1"/>
  <c r="O31" i="29" s="1"/>
  <c r="M20" i="30"/>
  <c r="M32" i="30" s="1"/>
  <c r="I32" i="30"/>
  <c r="M20" i="28"/>
  <c r="M32" i="28" s="1"/>
  <c r="I32" i="28"/>
  <c r="AA20" i="29"/>
  <c r="W32" i="29"/>
  <c r="M20" i="29"/>
  <c r="M32" i="29" s="1"/>
  <c r="I32" i="29"/>
  <c r="L24" i="28"/>
  <c r="N24" i="28" s="1"/>
  <c r="O24" i="28" s="1"/>
  <c r="H23" i="28"/>
  <c r="L23" i="28" s="1"/>
  <c r="N23" i="28" s="1"/>
  <c r="O23" i="28" s="1"/>
  <c r="H20" i="28"/>
  <c r="H21" i="28"/>
  <c r="L21" i="28" s="1"/>
  <c r="N21" i="28" s="1"/>
  <c r="O21" i="28" s="1"/>
  <c r="H22" i="28"/>
  <c r="L22" i="28" s="1"/>
  <c r="N22" i="28" s="1"/>
  <c r="O22" i="28" s="1"/>
  <c r="H25" i="28"/>
  <c r="L25" i="28" s="1"/>
  <c r="N25" i="28" s="1"/>
  <c r="O25" i="28" s="1"/>
  <c r="H26" i="28"/>
  <c r="L26" i="28" s="1"/>
  <c r="N26" i="28" s="1"/>
  <c r="O26" i="28" s="1"/>
  <c r="H27" i="28"/>
  <c r="L27" i="28" s="1"/>
  <c r="N27" i="28" s="1"/>
  <c r="O27" i="28" s="1"/>
  <c r="H28" i="28"/>
  <c r="L28" i="28" s="1"/>
  <c r="N28" i="28" s="1"/>
  <c r="O28" i="28" s="1"/>
  <c r="L29" i="28"/>
  <c r="N29" i="28" s="1"/>
  <c r="O29" i="28" s="1"/>
  <c r="H30" i="28"/>
  <c r="L30" i="28" s="1"/>
  <c r="N30" i="28" s="1"/>
  <c r="O30" i="28" s="1"/>
  <c r="H31" i="28"/>
  <c r="L31" i="28" s="1"/>
  <c r="N31" i="28" s="1"/>
  <c r="O31" i="28" s="1"/>
  <c r="H20" i="30"/>
  <c r="L24" i="30"/>
  <c r="N24" i="30" s="1"/>
  <c r="O24" i="30" s="1"/>
  <c r="H21" i="30"/>
  <c r="L21" i="30" s="1"/>
  <c r="N21" i="30" s="1"/>
  <c r="O21" i="30" s="1"/>
  <c r="H22" i="30"/>
  <c r="L22" i="30" s="1"/>
  <c r="N22" i="30" s="1"/>
  <c r="O22" i="30" s="1"/>
  <c r="H23" i="30"/>
  <c r="L23" i="30" s="1"/>
  <c r="N23" i="30" s="1"/>
  <c r="O23" i="30" s="1"/>
  <c r="H25" i="30"/>
  <c r="L25" i="30" s="1"/>
  <c r="N25" i="30" s="1"/>
  <c r="O25" i="30" s="1"/>
  <c r="H26" i="30"/>
  <c r="L26" i="30" s="1"/>
  <c r="N26" i="30" s="1"/>
  <c r="O26" i="30" s="1"/>
  <c r="H27" i="30"/>
  <c r="L27" i="30" s="1"/>
  <c r="N27" i="30" s="1"/>
  <c r="O27" i="30" s="1"/>
  <c r="H28" i="30"/>
  <c r="L28" i="30" s="1"/>
  <c r="N28" i="30" s="1"/>
  <c r="O28" i="30" s="1"/>
  <c r="L29" i="30"/>
  <c r="N29" i="30" s="1"/>
  <c r="O29" i="30" s="1"/>
  <c r="H30" i="30"/>
  <c r="L30" i="30" s="1"/>
  <c r="N30" i="30" s="1"/>
  <c r="O30" i="30" s="1"/>
  <c r="H31" i="30"/>
  <c r="L31" i="30" s="1"/>
  <c r="N31" i="30" s="1"/>
  <c r="O31" i="30" s="1"/>
  <c r="E17" i="5"/>
  <c r="I17" i="5" s="1"/>
  <c r="M17" i="5" s="1"/>
  <c r="W52" i="36" l="1"/>
  <c r="AA52" i="36" s="1"/>
  <c r="AC52" i="36" s="1"/>
  <c r="AD52" i="36" s="1"/>
  <c r="W56" i="36"/>
  <c r="AA56" i="36" s="1"/>
  <c r="AC56" i="36" s="1"/>
  <c r="AD56" i="36" s="1"/>
  <c r="L32" i="34"/>
  <c r="C56" i="34" s="1"/>
  <c r="H53" i="34" s="1"/>
  <c r="L53" i="34" s="1"/>
  <c r="N53" i="34" s="1"/>
  <c r="O53" i="34" s="1"/>
  <c r="E35" i="52"/>
  <c r="F177" i="3" s="1"/>
  <c r="L14" i="34"/>
  <c r="R56" i="34" s="1"/>
  <c r="W54" i="34" s="1"/>
  <c r="AA54" i="34" s="1"/>
  <c r="AC54" i="34" s="1"/>
  <c r="AD54" i="34" s="1"/>
  <c r="J32" i="34"/>
  <c r="J14" i="34"/>
  <c r="W49" i="36"/>
  <c r="AA49" i="36" s="1"/>
  <c r="AC49" i="36" s="1"/>
  <c r="W57" i="36"/>
  <c r="AA57" i="36" s="1"/>
  <c r="AC57" i="36" s="1"/>
  <c r="AD57" i="36" s="1"/>
  <c r="W60" i="36"/>
  <c r="AA60" i="36" s="1"/>
  <c r="AC60" i="36" s="1"/>
  <c r="AD60" i="36" s="1"/>
  <c r="W50" i="36"/>
  <c r="AA50" i="36" s="1"/>
  <c r="AC50" i="36" s="1"/>
  <c r="AD50" i="36" s="1"/>
  <c r="W55" i="36"/>
  <c r="AA55" i="36" s="1"/>
  <c r="AC55" i="36" s="1"/>
  <c r="AD55" i="36" s="1"/>
  <c r="W59" i="36"/>
  <c r="AA59" i="36" s="1"/>
  <c r="AC59" i="36" s="1"/>
  <c r="AD59" i="36" s="1"/>
  <c r="W54" i="36"/>
  <c r="AA54" i="36" s="1"/>
  <c r="AC54" i="36" s="1"/>
  <c r="AD54" i="36" s="1"/>
  <c r="L32" i="32"/>
  <c r="C56" i="32" s="1"/>
  <c r="H53" i="32" s="1"/>
  <c r="L53" i="32" s="1"/>
  <c r="N53" i="32" s="1"/>
  <c r="O53" i="32" s="1"/>
  <c r="J32" i="32"/>
  <c r="W58" i="36"/>
  <c r="AA58" i="36" s="1"/>
  <c r="AC58" i="36" s="1"/>
  <c r="AD58" i="36" s="1"/>
  <c r="W53" i="36"/>
  <c r="AA53" i="36" s="1"/>
  <c r="AC53" i="36" s="1"/>
  <c r="AD53" i="36" s="1"/>
  <c r="J14" i="40"/>
  <c r="L6" i="40"/>
  <c r="L14" i="40" s="1"/>
  <c r="R56" i="40" s="1"/>
  <c r="L14" i="32"/>
  <c r="R56" i="32" s="1"/>
  <c r="W52" i="32" s="1"/>
  <c r="AA52" i="32" s="1"/>
  <c r="AC52" i="32" s="1"/>
  <c r="AD52" i="32" s="1"/>
  <c r="J14" i="32"/>
  <c r="J14" i="53"/>
  <c r="L6" i="53"/>
  <c r="L14" i="53" s="1"/>
  <c r="R56" i="53" s="1"/>
  <c r="J14" i="35"/>
  <c r="L6" i="35"/>
  <c r="L14" i="35" s="1"/>
  <c r="R56" i="35" s="1"/>
  <c r="J14" i="48"/>
  <c r="L6" i="48"/>
  <c r="L14" i="48" s="1"/>
  <c r="R56" i="48" s="1"/>
  <c r="J14" i="31"/>
  <c r="L6" i="31"/>
  <c r="L14" i="31" s="1"/>
  <c r="R56" i="31" s="1"/>
  <c r="J14" i="51"/>
  <c r="L6" i="51"/>
  <c r="L14" i="51" s="1"/>
  <c r="R56" i="51" s="1"/>
  <c r="J14" i="33"/>
  <c r="L6" i="33"/>
  <c r="L14" i="33" s="1"/>
  <c r="R56" i="33" s="1"/>
  <c r="J14" i="39"/>
  <c r="L6" i="39"/>
  <c r="L14" i="39" s="1"/>
  <c r="R56" i="39" s="1"/>
  <c r="J14" i="38"/>
  <c r="L6" i="38"/>
  <c r="L14" i="38" s="1"/>
  <c r="R56" i="38" s="1"/>
  <c r="E35" i="47"/>
  <c r="D177" i="3" s="1"/>
  <c r="E35" i="50"/>
  <c r="E177" i="3" s="1"/>
  <c r="L32" i="53"/>
  <c r="C56" i="53" s="1"/>
  <c r="H54" i="53" s="1"/>
  <c r="L54" i="53" s="1"/>
  <c r="N54" i="53" s="1"/>
  <c r="O54" i="53" s="1"/>
  <c r="J32" i="53"/>
  <c r="L32" i="39"/>
  <c r="C56" i="39" s="1"/>
  <c r="H58" i="39" s="1"/>
  <c r="L58" i="39" s="1"/>
  <c r="N58" i="39" s="1"/>
  <c r="O58" i="39" s="1"/>
  <c r="J32" i="39"/>
  <c r="L32" i="40"/>
  <c r="C56" i="40" s="1"/>
  <c r="H49" i="40" s="1"/>
  <c r="J32" i="40"/>
  <c r="L32" i="38"/>
  <c r="C56" i="38" s="1"/>
  <c r="H58" i="38" s="1"/>
  <c r="L58" i="38" s="1"/>
  <c r="N58" i="38" s="1"/>
  <c r="O58" i="38" s="1"/>
  <c r="J32" i="38"/>
  <c r="T35" i="52"/>
  <c r="F179" i="3" s="1"/>
  <c r="AB34" i="52"/>
  <c r="F182" i="3" s="1"/>
  <c r="AD20" i="52"/>
  <c r="AD32" i="52" s="1"/>
  <c r="AC32" i="52"/>
  <c r="H58" i="36"/>
  <c r="L58" i="36" s="1"/>
  <c r="N58" i="36" s="1"/>
  <c r="O58" i="36" s="1"/>
  <c r="H53" i="36"/>
  <c r="L53" i="36" s="1"/>
  <c r="N53" i="36" s="1"/>
  <c r="O53" i="36" s="1"/>
  <c r="J32" i="35"/>
  <c r="L24" i="35"/>
  <c r="L32" i="35" s="1"/>
  <c r="C56" i="35" s="1"/>
  <c r="L24" i="51"/>
  <c r="L32" i="51" s="1"/>
  <c r="C56" i="51" s="1"/>
  <c r="J32" i="51"/>
  <c r="T35" i="50"/>
  <c r="E179" i="3" s="1"/>
  <c r="AB34" i="50"/>
  <c r="E182" i="3" s="1"/>
  <c r="AD20" i="50"/>
  <c r="AD32" i="50" s="1"/>
  <c r="AC32" i="50"/>
  <c r="L24" i="33"/>
  <c r="L32" i="33" s="1"/>
  <c r="C56" i="33" s="1"/>
  <c r="J32" i="33"/>
  <c r="M49" i="48"/>
  <c r="M61" i="48" s="1"/>
  <c r="I61" i="48"/>
  <c r="I61" i="31"/>
  <c r="M61" i="31"/>
  <c r="J32" i="31"/>
  <c r="L24" i="31"/>
  <c r="L32" i="31" s="1"/>
  <c r="C56" i="31" s="1"/>
  <c r="L32" i="48"/>
  <c r="C56" i="48" s="1"/>
  <c r="J32" i="48"/>
  <c r="AB34" i="47"/>
  <c r="D182" i="3" s="1"/>
  <c r="O20" i="47"/>
  <c r="O32" i="47" s="1"/>
  <c r="N32" i="47"/>
  <c r="N16" i="41"/>
  <c r="O16" i="41" s="1"/>
  <c r="N17" i="41"/>
  <c r="O17" i="41" s="1"/>
  <c r="N15" i="41"/>
  <c r="O15" i="41" s="1"/>
  <c r="N13" i="41"/>
  <c r="O13" i="41" s="1"/>
  <c r="N11" i="41"/>
  <c r="O11" i="41" s="1"/>
  <c r="N7" i="41"/>
  <c r="O7" i="41" s="1"/>
  <c r="N9" i="41"/>
  <c r="O9" i="41" s="1"/>
  <c r="M49" i="32"/>
  <c r="M61" i="32" s="1"/>
  <c r="I61" i="32"/>
  <c r="M6" i="41"/>
  <c r="M18" i="41" s="1"/>
  <c r="I18" i="41"/>
  <c r="M49" i="34"/>
  <c r="M61" i="34" s="1"/>
  <c r="I61" i="34"/>
  <c r="M49" i="36"/>
  <c r="M61" i="36" s="1"/>
  <c r="I61" i="36"/>
  <c r="N14" i="41"/>
  <c r="O14" i="41" s="1"/>
  <c r="N12" i="41"/>
  <c r="O12" i="41" s="1"/>
  <c r="N8" i="41"/>
  <c r="O8" i="41" s="1"/>
  <c r="L6" i="41"/>
  <c r="H18" i="41"/>
  <c r="N10" i="41"/>
  <c r="O10" i="41" s="1"/>
  <c r="H13" i="5"/>
  <c r="L13" i="5" s="1"/>
  <c r="N13" i="5" s="1"/>
  <c r="O13" i="5" s="1"/>
  <c r="H15" i="5"/>
  <c r="L15" i="5" s="1"/>
  <c r="N15" i="5" s="1"/>
  <c r="O15" i="5" s="1"/>
  <c r="H10" i="5"/>
  <c r="L10" i="5" s="1"/>
  <c r="N10" i="5" s="1"/>
  <c r="O10" i="5" s="1"/>
  <c r="H9" i="4"/>
  <c r="L9" i="4" s="1"/>
  <c r="N9" i="4" s="1"/>
  <c r="O9" i="4" s="1"/>
  <c r="H10" i="4"/>
  <c r="L10" i="4" s="1"/>
  <c r="N10" i="4" s="1"/>
  <c r="O10" i="4" s="1"/>
  <c r="H15" i="4"/>
  <c r="L15" i="4" s="1"/>
  <c r="N15" i="4" s="1"/>
  <c r="O15" i="4" s="1"/>
  <c r="H7" i="5"/>
  <c r="L7" i="5" s="1"/>
  <c r="N7" i="5" s="1"/>
  <c r="O7" i="5" s="1"/>
  <c r="H13" i="4"/>
  <c r="L13" i="4" s="1"/>
  <c r="N13" i="4" s="1"/>
  <c r="O13" i="4" s="1"/>
  <c r="M18" i="4"/>
  <c r="H14" i="4"/>
  <c r="L14" i="4" s="1"/>
  <c r="N14" i="4" s="1"/>
  <c r="O14" i="4" s="1"/>
  <c r="H7" i="4"/>
  <c r="L7" i="4" s="1"/>
  <c r="N7" i="4" s="1"/>
  <c r="H16" i="5"/>
  <c r="L16" i="5" s="1"/>
  <c r="N16" i="5" s="1"/>
  <c r="O16" i="5" s="1"/>
  <c r="H12" i="5"/>
  <c r="L12" i="5" s="1"/>
  <c r="N12" i="5" s="1"/>
  <c r="O12" i="5" s="1"/>
  <c r="H17" i="4"/>
  <c r="L17" i="4" s="1"/>
  <c r="N17" i="4" s="1"/>
  <c r="O17" i="4" s="1"/>
  <c r="H11" i="4"/>
  <c r="L11" i="4" s="1"/>
  <c r="N11" i="4" s="1"/>
  <c r="O11" i="4" s="1"/>
  <c r="H16" i="4"/>
  <c r="L16" i="4" s="1"/>
  <c r="N16" i="4" s="1"/>
  <c r="O16" i="4" s="1"/>
  <c r="H6" i="4"/>
  <c r="L6" i="4" s="1"/>
  <c r="N6" i="4" s="1"/>
  <c r="O6" i="4" s="1"/>
  <c r="H12" i="4"/>
  <c r="L12" i="4" s="1"/>
  <c r="N12" i="4" s="1"/>
  <c r="O12" i="4" s="1"/>
  <c r="M18" i="5"/>
  <c r="I18" i="4"/>
  <c r="H6" i="5"/>
  <c r="L6" i="5" s="1"/>
  <c r="N6" i="5" s="1"/>
  <c r="O6" i="5" s="1"/>
  <c r="H8" i="5"/>
  <c r="L8" i="5" s="1"/>
  <c r="N8" i="5" s="1"/>
  <c r="O8" i="5" s="1"/>
  <c r="H9" i="5"/>
  <c r="L9" i="5" s="1"/>
  <c r="N9" i="5" s="1"/>
  <c r="O9" i="5" s="1"/>
  <c r="H11" i="5"/>
  <c r="L11" i="5" s="1"/>
  <c r="N11" i="5" s="1"/>
  <c r="O11" i="5" s="1"/>
  <c r="H14" i="5"/>
  <c r="L14" i="5" s="1"/>
  <c r="N14" i="5" s="1"/>
  <c r="O14" i="5" s="1"/>
  <c r="H49" i="36"/>
  <c r="H50" i="36"/>
  <c r="L50" i="36" s="1"/>
  <c r="N50" i="36" s="1"/>
  <c r="O50" i="36" s="1"/>
  <c r="H51" i="36"/>
  <c r="L51" i="36" s="1"/>
  <c r="N51" i="36" s="1"/>
  <c r="O51" i="36" s="1"/>
  <c r="H52" i="36"/>
  <c r="L52" i="36" s="1"/>
  <c r="N52" i="36" s="1"/>
  <c r="O52" i="36" s="1"/>
  <c r="H54" i="36"/>
  <c r="L54" i="36" s="1"/>
  <c r="N54" i="36" s="1"/>
  <c r="O54" i="36" s="1"/>
  <c r="H55" i="36"/>
  <c r="L55" i="36" s="1"/>
  <c r="N55" i="36" s="1"/>
  <c r="O55" i="36" s="1"/>
  <c r="H56" i="36"/>
  <c r="L56" i="36" s="1"/>
  <c r="N56" i="36" s="1"/>
  <c r="O56" i="36" s="1"/>
  <c r="H57" i="36"/>
  <c r="L57" i="36" s="1"/>
  <c r="N57" i="36" s="1"/>
  <c r="O57" i="36" s="1"/>
  <c r="H59" i="36"/>
  <c r="L59" i="36" s="1"/>
  <c r="N59" i="36" s="1"/>
  <c r="O59" i="36" s="1"/>
  <c r="H60" i="36"/>
  <c r="L60" i="36" s="1"/>
  <c r="N60" i="36" s="1"/>
  <c r="O60" i="36" s="1"/>
  <c r="L20" i="30"/>
  <c r="H32" i="30"/>
  <c r="L20" i="28"/>
  <c r="H32" i="28"/>
  <c r="AC20" i="29"/>
  <c r="AA32" i="29"/>
  <c r="T34" i="29" s="1"/>
  <c r="E171" i="3" s="1"/>
  <c r="L20" i="29"/>
  <c r="H32" i="29"/>
  <c r="AC20" i="28"/>
  <c r="AA32" i="28"/>
  <c r="T34" i="28" s="1"/>
  <c r="D171" i="3" s="1"/>
  <c r="AC20" i="30"/>
  <c r="AA32" i="30"/>
  <c r="T34" i="30" s="1"/>
  <c r="F171" i="3" s="1"/>
  <c r="L8" i="4"/>
  <c r="N8" i="4" s="1"/>
  <c r="O8" i="4" s="1"/>
  <c r="H17" i="5"/>
  <c r="I18" i="5"/>
  <c r="E18" i="5"/>
  <c r="H56" i="34" l="1"/>
  <c r="L56" i="34" s="1"/>
  <c r="N56" i="34" s="1"/>
  <c r="O56" i="34" s="1"/>
  <c r="H50" i="32"/>
  <c r="L50" i="32" s="1"/>
  <c r="N50" i="32" s="1"/>
  <c r="O50" i="32" s="1"/>
  <c r="H57" i="34"/>
  <c r="L57" i="34" s="1"/>
  <c r="N57" i="34" s="1"/>
  <c r="O57" i="34" s="1"/>
  <c r="W53" i="34"/>
  <c r="AA53" i="34" s="1"/>
  <c r="AC53" i="34" s="1"/>
  <c r="AD53" i="34" s="1"/>
  <c r="H54" i="34"/>
  <c r="L54" i="34" s="1"/>
  <c r="N54" i="34" s="1"/>
  <c r="O54" i="34" s="1"/>
  <c r="H52" i="34"/>
  <c r="L52" i="34" s="1"/>
  <c r="N52" i="34" s="1"/>
  <c r="O52" i="34" s="1"/>
  <c r="H51" i="34"/>
  <c r="L51" i="34" s="1"/>
  <c r="N51" i="34" s="1"/>
  <c r="O51" i="34" s="1"/>
  <c r="H58" i="34"/>
  <c r="L58" i="34" s="1"/>
  <c r="N58" i="34" s="1"/>
  <c r="O58" i="34" s="1"/>
  <c r="H50" i="34"/>
  <c r="L50" i="34" s="1"/>
  <c r="N50" i="34" s="1"/>
  <c r="O50" i="34" s="1"/>
  <c r="H55" i="34"/>
  <c r="L55" i="34" s="1"/>
  <c r="N55" i="34" s="1"/>
  <c r="O55" i="34" s="1"/>
  <c r="H60" i="34"/>
  <c r="L60" i="34" s="1"/>
  <c r="N60" i="34" s="1"/>
  <c r="O60" i="34" s="1"/>
  <c r="H59" i="34"/>
  <c r="L59" i="34" s="1"/>
  <c r="N59" i="34" s="1"/>
  <c r="O59" i="34" s="1"/>
  <c r="H49" i="34"/>
  <c r="L49" i="34" s="1"/>
  <c r="W57" i="34"/>
  <c r="AA57" i="34" s="1"/>
  <c r="AC57" i="34" s="1"/>
  <c r="AD57" i="34" s="1"/>
  <c r="W50" i="34"/>
  <c r="AA50" i="34" s="1"/>
  <c r="AC50" i="34" s="1"/>
  <c r="AD50" i="34" s="1"/>
  <c r="H57" i="38"/>
  <c r="L57" i="38" s="1"/>
  <c r="N57" i="38" s="1"/>
  <c r="O57" i="38" s="1"/>
  <c r="W51" i="34"/>
  <c r="AA51" i="34" s="1"/>
  <c r="AC51" i="34" s="1"/>
  <c r="AD51" i="34" s="1"/>
  <c r="W59" i="34"/>
  <c r="AA59" i="34" s="1"/>
  <c r="AC59" i="34" s="1"/>
  <c r="AD59" i="34" s="1"/>
  <c r="W60" i="34"/>
  <c r="AA60" i="34" s="1"/>
  <c r="AC60" i="34" s="1"/>
  <c r="AD60" i="34" s="1"/>
  <c r="H56" i="32"/>
  <c r="L56" i="32" s="1"/>
  <c r="N56" i="32" s="1"/>
  <c r="O56" i="32" s="1"/>
  <c r="W58" i="34"/>
  <c r="AA58" i="34" s="1"/>
  <c r="AC58" i="34" s="1"/>
  <c r="AD58" i="34" s="1"/>
  <c r="W52" i="34"/>
  <c r="AA52" i="34" s="1"/>
  <c r="AC52" i="34" s="1"/>
  <c r="AD52" i="34" s="1"/>
  <c r="W49" i="34"/>
  <c r="AA49" i="34" s="1"/>
  <c r="AC49" i="34" s="1"/>
  <c r="AD49" i="34" s="1"/>
  <c r="W56" i="34"/>
  <c r="AA56" i="34" s="1"/>
  <c r="AC56" i="34" s="1"/>
  <c r="AD56" i="34" s="1"/>
  <c r="W55" i="34"/>
  <c r="AA55" i="34" s="1"/>
  <c r="AC55" i="34" s="1"/>
  <c r="AD55" i="34" s="1"/>
  <c r="H59" i="32"/>
  <c r="L59" i="32" s="1"/>
  <c r="N59" i="32" s="1"/>
  <c r="O59" i="32" s="1"/>
  <c r="H54" i="32"/>
  <c r="L54" i="32" s="1"/>
  <c r="N54" i="32" s="1"/>
  <c r="O54" i="32" s="1"/>
  <c r="H52" i="32"/>
  <c r="L52" i="32" s="1"/>
  <c r="N52" i="32" s="1"/>
  <c r="O52" i="32" s="1"/>
  <c r="H60" i="32"/>
  <c r="L60" i="32" s="1"/>
  <c r="N60" i="32" s="1"/>
  <c r="O60" i="32" s="1"/>
  <c r="H57" i="32"/>
  <c r="L57" i="32" s="1"/>
  <c r="N57" i="32" s="1"/>
  <c r="O57" i="32" s="1"/>
  <c r="H55" i="32"/>
  <c r="L55" i="32" s="1"/>
  <c r="N55" i="32" s="1"/>
  <c r="O55" i="32" s="1"/>
  <c r="H51" i="32"/>
  <c r="L51" i="32" s="1"/>
  <c r="N51" i="32" s="1"/>
  <c r="O51" i="32" s="1"/>
  <c r="H49" i="32"/>
  <c r="L49" i="32" s="1"/>
  <c r="W61" i="36"/>
  <c r="H58" i="32"/>
  <c r="L58" i="32" s="1"/>
  <c r="N58" i="32" s="1"/>
  <c r="O58" i="32" s="1"/>
  <c r="AA61" i="36"/>
  <c r="T63" i="36" s="1"/>
  <c r="F221" i="3" s="1"/>
  <c r="W56" i="32"/>
  <c r="AA56" i="32" s="1"/>
  <c r="AC56" i="32" s="1"/>
  <c r="AD56" i="32" s="1"/>
  <c r="W53" i="32"/>
  <c r="AA53" i="32" s="1"/>
  <c r="AC53" i="32" s="1"/>
  <c r="AD53" i="32" s="1"/>
  <c r="W58" i="32"/>
  <c r="AA58" i="32" s="1"/>
  <c r="AC58" i="32" s="1"/>
  <c r="AD58" i="32" s="1"/>
  <c r="W51" i="32"/>
  <c r="AA51" i="32" s="1"/>
  <c r="AC51" i="32" s="1"/>
  <c r="AD51" i="32" s="1"/>
  <c r="W54" i="32"/>
  <c r="AA54" i="32" s="1"/>
  <c r="AC54" i="32" s="1"/>
  <c r="AD54" i="32" s="1"/>
  <c r="W60" i="32"/>
  <c r="AA60" i="32" s="1"/>
  <c r="AC60" i="32" s="1"/>
  <c r="AD60" i="32" s="1"/>
  <c r="H60" i="39"/>
  <c r="L60" i="39" s="1"/>
  <c r="N60" i="39" s="1"/>
  <c r="O60" i="39" s="1"/>
  <c r="W57" i="32"/>
  <c r="AA57" i="32" s="1"/>
  <c r="AC57" i="32" s="1"/>
  <c r="AD57" i="32" s="1"/>
  <c r="W55" i="32"/>
  <c r="AA55" i="32" s="1"/>
  <c r="AC55" i="32" s="1"/>
  <c r="AD55" i="32" s="1"/>
  <c r="W53" i="40"/>
  <c r="AA53" i="40" s="1"/>
  <c r="AC53" i="40" s="1"/>
  <c r="AD53" i="40" s="1"/>
  <c r="W58" i="40"/>
  <c r="AA58" i="40" s="1"/>
  <c r="AC58" i="40" s="1"/>
  <c r="AD58" i="40" s="1"/>
  <c r="W51" i="40"/>
  <c r="AA51" i="40" s="1"/>
  <c r="AC51" i="40" s="1"/>
  <c r="AD51" i="40" s="1"/>
  <c r="W59" i="40"/>
  <c r="AA59" i="40" s="1"/>
  <c r="AC59" i="40" s="1"/>
  <c r="AD59" i="40" s="1"/>
  <c r="W52" i="40"/>
  <c r="AA52" i="40" s="1"/>
  <c r="AC52" i="40" s="1"/>
  <c r="AD52" i="40" s="1"/>
  <c r="W60" i="40"/>
  <c r="AA60" i="40" s="1"/>
  <c r="AC60" i="40" s="1"/>
  <c r="AD60" i="40" s="1"/>
  <c r="W54" i="40"/>
  <c r="AA54" i="40" s="1"/>
  <c r="AC54" i="40" s="1"/>
  <c r="AD54" i="40" s="1"/>
  <c r="W55" i="40"/>
  <c r="AA55" i="40" s="1"/>
  <c r="AC55" i="40" s="1"/>
  <c r="AD55" i="40" s="1"/>
  <c r="W56" i="40"/>
  <c r="AA56" i="40" s="1"/>
  <c r="AC56" i="40" s="1"/>
  <c r="AD56" i="40" s="1"/>
  <c r="W49" i="40"/>
  <c r="W57" i="40"/>
  <c r="AA57" i="40" s="1"/>
  <c r="AC57" i="40" s="1"/>
  <c r="AD57" i="40" s="1"/>
  <c r="W50" i="40"/>
  <c r="AA50" i="40" s="1"/>
  <c r="AC50" i="40" s="1"/>
  <c r="AD50" i="40" s="1"/>
  <c r="W50" i="32"/>
  <c r="AA50" i="32" s="1"/>
  <c r="AC50" i="32" s="1"/>
  <c r="AD50" i="32" s="1"/>
  <c r="W49" i="32"/>
  <c r="AA49" i="32" s="1"/>
  <c r="AC49" i="32" s="1"/>
  <c r="AD49" i="32" s="1"/>
  <c r="W59" i="32"/>
  <c r="AA59" i="32" s="1"/>
  <c r="AC59" i="32" s="1"/>
  <c r="AD59" i="32" s="1"/>
  <c r="W58" i="53"/>
  <c r="AA58" i="53" s="1"/>
  <c r="AC58" i="53" s="1"/>
  <c r="AD58" i="53" s="1"/>
  <c r="W53" i="53"/>
  <c r="AA53" i="53" s="1"/>
  <c r="AC53" i="53" s="1"/>
  <c r="AD53" i="53" s="1"/>
  <c r="W49" i="53"/>
  <c r="W51" i="53"/>
  <c r="AA51" i="53" s="1"/>
  <c r="AC51" i="53" s="1"/>
  <c r="AD51" i="53" s="1"/>
  <c r="W59" i="53"/>
  <c r="AA59" i="53" s="1"/>
  <c r="AC59" i="53" s="1"/>
  <c r="AD59" i="53" s="1"/>
  <c r="W52" i="53"/>
  <c r="AA52" i="53" s="1"/>
  <c r="AC52" i="53" s="1"/>
  <c r="AD52" i="53" s="1"/>
  <c r="W60" i="53"/>
  <c r="AA60" i="53" s="1"/>
  <c r="AC60" i="53" s="1"/>
  <c r="AD60" i="53" s="1"/>
  <c r="W54" i="53"/>
  <c r="AA54" i="53" s="1"/>
  <c r="AC54" i="53" s="1"/>
  <c r="AD54" i="53" s="1"/>
  <c r="W55" i="53"/>
  <c r="AA55" i="53" s="1"/>
  <c r="AC55" i="53" s="1"/>
  <c r="AD55" i="53" s="1"/>
  <c r="W56" i="53"/>
  <c r="AA56" i="53" s="1"/>
  <c r="AC56" i="53" s="1"/>
  <c r="AD56" i="53" s="1"/>
  <c r="W50" i="53"/>
  <c r="AA50" i="53" s="1"/>
  <c r="AC50" i="53" s="1"/>
  <c r="AD50" i="53" s="1"/>
  <c r="W57" i="53"/>
  <c r="AA57" i="53" s="1"/>
  <c r="AC57" i="53" s="1"/>
  <c r="AD57" i="53" s="1"/>
  <c r="W50" i="33"/>
  <c r="AA50" i="33" s="1"/>
  <c r="AC50" i="33" s="1"/>
  <c r="AD50" i="33" s="1"/>
  <c r="W53" i="33"/>
  <c r="AA53" i="33" s="1"/>
  <c r="AC53" i="33" s="1"/>
  <c r="AD53" i="33" s="1"/>
  <c r="W52" i="33"/>
  <c r="AA52" i="33" s="1"/>
  <c r="AC52" i="33" s="1"/>
  <c r="AD52" i="33" s="1"/>
  <c r="W58" i="33"/>
  <c r="AA58" i="33" s="1"/>
  <c r="AC58" i="33" s="1"/>
  <c r="AD58" i="33" s="1"/>
  <c r="W49" i="33"/>
  <c r="W51" i="33"/>
  <c r="AA51" i="33" s="1"/>
  <c r="AC51" i="33" s="1"/>
  <c r="AD51" i="33" s="1"/>
  <c r="W54" i="33"/>
  <c r="AA54" i="33" s="1"/>
  <c r="AC54" i="33" s="1"/>
  <c r="AD54" i="33" s="1"/>
  <c r="W60" i="33"/>
  <c r="AA60" i="33" s="1"/>
  <c r="AC60" i="33" s="1"/>
  <c r="AD60" i="33" s="1"/>
  <c r="W59" i="33"/>
  <c r="AA59" i="33" s="1"/>
  <c r="AC59" i="33" s="1"/>
  <c r="AD59" i="33" s="1"/>
  <c r="W57" i="33"/>
  <c r="AA57" i="33" s="1"/>
  <c r="AC57" i="33" s="1"/>
  <c r="AD57" i="33" s="1"/>
  <c r="W55" i="33"/>
  <c r="AA55" i="33" s="1"/>
  <c r="AC55" i="33" s="1"/>
  <c r="AD55" i="33" s="1"/>
  <c r="W56" i="33"/>
  <c r="AA56" i="33" s="1"/>
  <c r="AC56" i="33" s="1"/>
  <c r="AD56" i="33" s="1"/>
  <c r="W53" i="31"/>
  <c r="AA53" i="31" s="1"/>
  <c r="AC53" i="31" s="1"/>
  <c r="AD53" i="31" s="1"/>
  <c r="W58" i="31"/>
  <c r="AA58" i="31" s="1"/>
  <c r="AC58" i="31" s="1"/>
  <c r="AD58" i="31" s="1"/>
  <c r="W52" i="31"/>
  <c r="AA52" i="31" s="1"/>
  <c r="AC52" i="31" s="1"/>
  <c r="AD52" i="31" s="1"/>
  <c r="W50" i="31"/>
  <c r="AA50" i="31" s="1"/>
  <c r="AC50" i="31" s="1"/>
  <c r="AD50" i="31" s="1"/>
  <c r="W57" i="31"/>
  <c r="AA57" i="31" s="1"/>
  <c r="AC57" i="31" s="1"/>
  <c r="AD57" i="31" s="1"/>
  <c r="W59" i="31"/>
  <c r="AA59" i="31" s="1"/>
  <c r="AC59" i="31" s="1"/>
  <c r="AD59" i="31" s="1"/>
  <c r="W56" i="31"/>
  <c r="AA56" i="31" s="1"/>
  <c r="AC56" i="31" s="1"/>
  <c r="AD56" i="31" s="1"/>
  <c r="W60" i="31"/>
  <c r="AA60" i="31" s="1"/>
  <c r="AC60" i="31" s="1"/>
  <c r="AD60" i="31" s="1"/>
  <c r="W54" i="31"/>
  <c r="AA54" i="31" s="1"/>
  <c r="AC54" i="31" s="1"/>
  <c r="AD54" i="31" s="1"/>
  <c r="W55" i="31"/>
  <c r="AA55" i="31" s="1"/>
  <c r="AC55" i="31" s="1"/>
  <c r="AD55" i="31" s="1"/>
  <c r="W51" i="31"/>
  <c r="AA51" i="31" s="1"/>
  <c r="AC51" i="31" s="1"/>
  <c r="AD51" i="31" s="1"/>
  <c r="W49" i="31"/>
  <c r="W53" i="51"/>
  <c r="AA53" i="51" s="1"/>
  <c r="AC53" i="51" s="1"/>
  <c r="AD53" i="51" s="1"/>
  <c r="W58" i="51"/>
  <c r="AA58" i="51" s="1"/>
  <c r="AC58" i="51" s="1"/>
  <c r="AD58" i="51" s="1"/>
  <c r="W49" i="51"/>
  <c r="W55" i="51"/>
  <c r="AA55" i="51" s="1"/>
  <c r="AC55" i="51" s="1"/>
  <c r="AD55" i="51" s="1"/>
  <c r="W50" i="51"/>
  <c r="AA50" i="51" s="1"/>
  <c r="AC50" i="51" s="1"/>
  <c r="AD50" i="51" s="1"/>
  <c r="W54" i="51"/>
  <c r="AA54" i="51" s="1"/>
  <c r="AC54" i="51" s="1"/>
  <c r="AD54" i="51" s="1"/>
  <c r="W57" i="51"/>
  <c r="AA57" i="51" s="1"/>
  <c r="AC57" i="51" s="1"/>
  <c r="AD57" i="51" s="1"/>
  <c r="W60" i="51"/>
  <c r="AA60" i="51" s="1"/>
  <c r="AC60" i="51" s="1"/>
  <c r="AD60" i="51" s="1"/>
  <c r="W52" i="51"/>
  <c r="AA52" i="51" s="1"/>
  <c r="AC52" i="51" s="1"/>
  <c r="AD52" i="51" s="1"/>
  <c r="W59" i="51"/>
  <c r="AA59" i="51" s="1"/>
  <c r="AC59" i="51" s="1"/>
  <c r="AD59" i="51" s="1"/>
  <c r="W51" i="51"/>
  <c r="AA51" i="51" s="1"/>
  <c r="AC51" i="51" s="1"/>
  <c r="AD51" i="51" s="1"/>
  <c r="W56" i="51"/>
  <c r="AA56" i="51" s="1"/>
  <c r="AC56" i="51" s="1"/>
  <c r="AD56" i="51" s="1"/>
  <c r="W53" i="48"/>
  <c r="AA53" i="48" s="1"/>
  <c r="AC53" i="48" s="1"/>
  <c r="AD53" i="48" s="1"/>
  <c r="W58" i="48"/>
  <c r="AA58" i="48" s="1"/>
  <c r="AC58" i="48" s="1"/>
  <c r="AD58" i="48" s="1"/>
  <c r="W55" i="48"/>
  <c r="AA55" i="48" s="1"/>
  <c r="AC55" i="48" s="1"/>
  <c r="AD55" i="48" s="1"/>
  <c r="W56" i="48"/>
  <c r="AA56" i="48" s="1"/>
  <c r="AC56" i="48" s="1"/>
  <c r="AD56" i="48" s="1"/>
  <c r="W49" i="48"/>
  <c r="W57" i="48"/>
  <c r="AA57" i="48" s="1"/>
  <c r="AC57" i="48" s="1"/>
  <c r="AD57" i="48" s="1"/>
  <c r="W50" i="48"/>
  <c r="AA50" i="48" s="1"/>
  <c r="AC50" i="48" s="1"/>
  <c r="AD50" i="48" s="1"/>
  <c r="W51" i="48"/>
  <c r="AA51" i="48" s="1"/>
  <c r="AC51" i="48" s="1"/>
  <c r="AD51" i="48" s="1"/>
  <c r="W59" i="48"/>
  <c r="AA59" i="48" s="1"/>
  <c r="AC59" i="48" s="1"/>
  <c r="AD59" i="48" s="1"/>
  <c r="W52" i="48"/>
  <c r="AA52" i="48" s="1"/>
  <c r="AC52" i="48" s="1"/>
  <c r="AD52" i="48" s="1"/>
  <c r="W60" i="48"/>
  <c r="AA60" i="48" s="1"/>
  <c r="AC60" i="48" s="1"/>
  <c r="AD60" i="48" s="1"/>
  <c r="W54" i="48"/>
  <c r="AA54" i="48" s="1"/>
  <c r="AC54" i="48" s="1"/>
  <c r="AD54" i="48" s="1"/>
  <c r="W58" i="35"/>
  <c r="AA58" i="35" s="1"/>
  <c r="AC58" i="35" s="1"/>
  <c r="AD58" i="35" s="1"/>
  <c r="W53" i="35"/>
  <c r="AA53" i="35" s="1"/>
  <c r="AC53" i="35" s="1"/>
  <c r="AD53" i="35" s="1"/>
  <c r="W56" i="35"/>
  <c r="AA56" i="35" s="1"/>
  <c r="AC56" i="35" s="1"/>
  <c r="AD56" i="35" s="1"/>
  <c r="W52" i="35"/>
  <c r="AA52" i="35" s="1"/>
  <c r="AC52" i="35" s="1"/>
  <c r="AD52" i="35" s="1"/>
  <c r="W55" i="35"/>
  <c r="AA55" i="35" s="1"/>
  <c r="AC55" i="35" s="1"/>
  <c r="AD55" i="35" s="1"/>
  <c r="W54" i="35"/>
  <c r="AA54" i="35" s="1"/>
  <c r="AC54" i="35" s="1"/>
  <c r="AD54" i="35" s="1"/>
  <c r="W51" i="35"/>
  <c r="AA51" i="35" s="1"/>
  <c r="AC51" i="35" s="1"/>
  <c r="AD51" i="35" s="1"/>
  <c r="W60" i="35"/>
  <c r="AA60" i="35" s="1"/>
  <c r="AC60" i="35" s="1"/>
  <c r="AD60" i="35" s="1"/>
  <c r="W50" i="35"/>
  <c r="AA50" i="35" s="1"/>
  <c r="AC50" i="35" s="1"/>
  <c r="AD50" i="35" s="1"/>
  <c r="W59" i="35"/>
  <c r="AA59" i="35" s="1"/>
  <c r="AC59" i="35" s="1"/>
  <c r="AD59" i="35" s="1"/>
  <c r="W49" i="35"/>
  <c r="W57" i="35"/>
  <c r="AA57" i="35" s="1"/>
  <c r="AC57" i="35" s="1"/>
  <c r="AD57" i="35" s="1"/>
  <c r="AB35" i="47"/>
  <c r="D180" i="3" s="1"/>
  <c r="D178" i="3" s="1"/>
  <c r="W53" i="38"/>
  <c r="AA53" i="38" s="1"/>
  <c r="AC53" i="38" s="1"/>
  <c r="AD53" i="38" s="1"/>
  <c r="W58" i="38"/>
  <c r="AA58" i="38" s="1"/>
  <c r="AC58" i="38" s="1"/>
  <c r="AD58" i="38" s="1"/>
  <c r="W50" i="38"/>
  <c r="AA50" i="38" s="1"/>
  <c r="AC50" i="38" s="1"/>
  <c r="AD50" i="38" s="1"/>
  <c r="W56" i="38"/>
  <c r="AA56" i="38" s="1"/>
  <c r="AC56" i="38" s="1"/>
  <c r="AD56" i="38" s="1"/>
  <c r="W49" i="38"/>
  <c r="W54" i="38"/>
  <c r="AA54" i="38" s="1"/>
  <c r="AC54" i="38" s="1"/>
  <c r="AD54" i="38" s="1"/>
  <c r="W52" i="38"/>
  <c r="AA52" i="38" s="1"/>
  <c r="AC52" i="38" s="1"/>
  <c r="AD52" i="38" s="1"/>
  <c r="W59" i="38"/>
  <c r="AA59" i="38" s="1"/>
  <c r="AC59" i="38" s="1"/>
  <c r="AD59" i="38" s="1"/>
  <c r="W55" i="38"/>
  <c r="AA55" i="38" s="1"/>
  <c r="AC55" i="38" s="1"/>
  <c r="AD55" i="38" s="1"/>
  <c r="W57" i="38"/>
  <c r="AA57" i="38" s="1"/>
  <c r="AC57" i="38" s="1"/>
  <c r="AD57" i="38" s="1"/>
  <c r="W51" i="38"/>
  <c r="AA51" i="38" s="1"/>
  <c r="AC51" i="38" s="1"/>
  <c r="AD51" i="38" s="1"/>
  <c r="W60" i="38"/>
  <c r="AA60" i="38" s="1"/>
  <c r="AC60" i="38" s="1"/>
  <c r="AD60" i="38" s="1"/>
  <c r="W53" i="39"/>
  <c r="AA53" i="39" s="1"/>
  <c r="AC53" i="39" s="1"/>
  <c r="AD53" i="39" s="1"/>
  <c r="W58" i="39"/>
  <c r="AA58" i="39" s="1"/>
  <c r="AC58" i="39" s="1"/>
  <c r="AD58" i="39" s="1"/>
  <c r="W49" i="39"/>
  <c r="W56" i="39"/>
  <c r="AA56" i="39" s="1"/>
  <c r="AC56" i="39" s="1"/>
  <c r="AD56" i="39" s="1"/>
  <c r="W59" i="39"/>
  <c r="AA59" i="39" s="1"/>
  <c r="AC59" i="39" s="1"/>
  <c r="AD59" i="39" s="1"/>
  <c r="W60" i="39"/>
  <c r="AA60" i="39" s="1"/>
  <c r="AC60" i="39" s="1"/>
  <c r="AD60" i="39" s="1"/>
  <c r="W57" i="39"/>
  <c r="AA57" i="39" s="1"/>
  <c r="AC57" i="39" s="1"/>
  <c r="AD57" i="39" s="1"/>
  <c r="W52" i="39"/>
  <c r="AA52" i="39" s="1"/>
  <c r="AC52" i="39" s="1"/>
  <c r="AD52" i="39" s="1"/>
  <c r="W55" i="39"/>
  <c r="AA55" i="39" s="1"/>
  <c r="AC55" i="39" s="1"/>
  <c r="AD55" i="39" s="1"/>
  <c r="W54" i="39"/>
  <c r="AA54" i="39" s="1"/>
  <c r="AC54" i="39" s="1"/>
  <c r="AD54" i="39" s="1"/>
  <c r="W51" i="39"/>
  <c r="AA51" i="39" s="1"/>
  <c r="AC51" i="39" s="1"/>
  <c r="AD51" i="39" s="1"/>
  <c r="W50" i="39"/>
  <c r="AA50" i="39" s="1"/>
  <c r="AC50" i="39" s="1"/>
  <c r="AD50" i="39" s="1"/>
  <c r="H51" i="39"/>
  <c r="L51" i="39" s="1"/>
  <c r="N51" i="39" s="1"/>
  <c r="O51" i="39" s="1"/>
  <c r="H50" i="39"/>
  <c r="L50" i="39" s="1"/>
  <c r="N50" i="39" s="1"/>
  <c r="O50" i="39" s="1"/>
  <c r="H55" i="39"/>
  <c r="L55" i="39" s="1"/>
  <c r="N55" i="39" s="1"/>
  <c r="O55" i="39" s="1"/>
  <c r="H54" i="39"/>
  <c r="L54" i="39" s="1"/>
  <c r="N54" i="39" s="1"/>
  <c r="O54" i="39" s="1"/>
  <c r="H59" i="39"/>
  <c r="L59" i="39" s="1"/>
  <c r="N59" i="39" s="1"/>
  <c r="O59" i="39" s="1"/>
  <c r="H49" i="39"/>
  <c r="L49" i="39" s="1"/>
  <c r="H52" i="39"/>
  <c r="L52" i="39" s="1"/>
  <c r="N52" i="39" s="1"/>
  <c r="O52" i="39" s="1"/>
  <c r="H57" i="39"/>
  <c r="L57" i="39" s="1"/>
  <c r="N57" i="39" s="1"/>
  <c r="O57" i="39" s="1"/>
  <c r="H56" i="39"/>
  <c r="L56" i="39" s="1"/>
  <c r="N56" i="39" s="1"/>
  <c r="O56" i="39" s="1"/>
  <c r="W116" i="6"/>
  <c r="H58" i="53"/>
  <c r="L58" i="53" s="1"/>
  <c r="N58" i="53" s="1"/>
  <c r="O58" i="53" s="1"/>
  <c r="H52" i="53"/>
  <c r="L52" i="53" s="1"/>
  <c r="N52" i="53" s="1"/>
  <c r="O52" i="53" s="1"/>
  <c r="AB35" i="52"/>
  <c r="F180" i="3" s="1"/>
  <c r="F178" i="3" s="1"/>
  <c r="H60" i="53"/>
  <c r="L60" i="53" s="1"/>
  <c r="N60" i="53" s="1"/>
  <c r="O60" i="53" s="1"/>
  <c r="AB35" i="50"/>
  <c r="E180" i="3" s="1"/>
  <c r="E178" i="3" s="1"/>
  <c r="H59" i="53"/>
  <c r="L59" i="53" s="1"/>
  <c r="N59" i="53" s="1"/>
  <c r="O59" i="53" s="1"/>
  <c r="H57" i="40"/>
  <c r="L57" i="40" s="1"/>
  <c r="N57" i="40" s="1"/>
  <c r="O57" i="40" s="1"/>
  <c r="H55" i="38"/>
  <c r="L55" i="38" s="1"/>
  <c r="N55" i="38" s="1"/>
  <c r="O55" i="38" s="1"/>
  <c r="H49" i="53"/>
  <c r="L49" i="53" s="1"/>
  <c r="H51" i="53"/>
  <c r="L51" i="53" s="1"/>
  <c r="N51" i="53" s="1"/>
  <c r="O51" i="53" s="1"/>
  <c r="H57" i="53"/>
  <c r="L57" i="53" s="1"/>
  <c r="N57" i="53" s="1"/>
  <c r="O57" i="53" s="1"/>
  <c r="H56" i="53"/>
  <c r="L56" i="53" s="1"/>
  <c r="N56" i="53" s="1"/>
  <c r="O56" i="53" s="1"/>
  <c r="H56" i="38"/>
  <c r="L56" i="38" s="1"/>
  <c r="N56" i="38" s="1"/>
  <c r="O56" i="38" s="1"/>
  <c r="H51" i="38"/>
  <c r="L51" i="38" s="1"/>
  <c r="N51" i="38" s="1"/>
  <c r="O51" i="38" s="1"/>
  <c r="H50" i="38"/>
  <c r="L50" i="38" s="1"/>
  <c r="N50" i="38" s="1"/>
  <c r="O50" i="38" s="1"/>
  <c r="H60" i="38"/>
  <c r="L60" i="38" s="1"/>
  <c r="N60" i="38" s="1"/>
  <c r="O60" i="38" s="1"/>
  <c r="H49" i="38"/>
  <c r="L49" i="38" s="1"/>
  <c r="H59" i="38"/>
  <c r="L59" i="38" s="1"/>
  <c r="N59" i="38" s="1"/>
  <c r="O59" i="38" s="1"/>
  <c r="H55" i="53"/>
  <c r="L55" i="53" s="1"/>
  <c r="N55" i="53" s="1"/>
  <c r="O55" i="53" s="1"/>
  <c r="H50" i="53"/>
  <c r="L50" i="53" s="1"/>
  <c r="N50" i="53" s="1"/>
  <c r="O50" i="53" s="1"/>
  <c r="H53" i="53"/>
  <c r="L53" i="53" s="1"/>
  <c r="N53" i="53" s="1"/>
  <c r="O53" i="53" s="1"/>
  <c r="H54" i="38"/>
  <c r="L54" i="38" s="1"/>
  <c r="N54" i="38" s="1"/>
  <c r="O54" i="38" s="1"/>
  <c r="H52" i="38"/>
  <c r="L52" i="38" s="1"/>
  <c r="N52" i="38" s="1"/>
  <c r="O52" i="38" s="1"/>
  <c r="H53" i="38"/>
  <c r="L53" i="38" s="1"/>
  <c r="N53" i="38" s="1"/>
  <c r="O53" i="38" s="1"/>
  <c r="H53" i="39"/>
  <c r="L53" i="39" s="1"/>
  <c r="N53" i="39" s="1"/>
  <c r="O53" i="39" s="1"/>
  <c r="H56" i="40"/>
  <c r="L56" i="40" s="1"/>
  <c r="N56" i="40" s="1"/>
  <c r="O56" i="40" s="1"/>
  <c r="H55" i="40"/>
  <c r="L55" i="40" s="1"/>
  <c r="N55" i="40" s="1"/>
  <c r="O55" i="40" s="1"/>
  <c r="H53" i="40"/>
  <c r="L53" i="40" s="1"/>
  <c r="N53" i="40" s="1"/>
  <c r="O53" i="40" s="1"/>
  <c r="H52" i="40"/>
  <c r="L52" i="40" s="1"/>
  <c r="N52" i="40" s="1"/>
  <c r="O52" i="40" s="1"/>
  <c r="H51" i="40"/>
  <c r="L51" i="40" s="1"/>
  <c r="N51" i="40" s="1"/>
  <c r="O51" i="40" s="1"/>
  <c r="H54" i="40"/>
  <c r="L54" i="40" s="1"/>
  <c r="N54" i="40" s="1"/>
  <c r="O54" i="40" s="1"/>
  <c r="H60" i="40"/>
  <c r="L60" i="40" s="1"/>
  <c r="N60" i="40" s="1"/>
  <c r="O60" i="40" s="1"/>
  <c r="H50" i="40"/>
  <c r="L50" i="40" s="1"/>
  <c r="N50" i="40" s="1"/>
  <c r="O50" i="40" s="1"/>
  <c r="H58" i="40"/>
  <c r="L58" i="40" s="1"/>
  <c r="N58" i="40" s="1"/>
  <c r="O58" i="40" s="1"/>
  <c r="H59" i="40"/>
  <c r="L59" i="40" s="1"/>
  <c r="N59" i="40" s="1"/>
  <c r="O59" i="40" s="1"/>
  <c r="H53" i="35"/>
  <c r="L53" i="35" s="1"/>
  <c r="N53" i="35" s="1"/>
  <c r="O53" i="35" s="1"/>
  <c r="H58" i="35"/>
  <c r="L58" i="35" s="1"/>
  <c r="N58" i="35" s="1"/>
  <c r="O58" i="35" s="1"/>
  <c r="H54" i="35"/>
  <c r="L54" i="35" s="1"/>
  <c r="N54" i="35" s="1"/>
  <c r="O54" i="35" s="1"/>
  <c r="H55" i="35"/>
  <c r="L55" i="35" s="1"/>
  <c r="N55" i="35" s="1"/>
  <c r="O55" i="35" s="1"/>
  <c r="H56" i="35"/>
  <c r="L56" i="35" s="1"/>
  <c r="N56" i="35" s="1"/>
  <c r="O56" i="35" s="1"/>
  <c r="H57" i="35"/>
  <c r="L57" i="35" s="1"/>
  <c r="N57" i="35" s="1"/>
  <c r="O57" i="35" s="1"/>
  <c r="H49" i="35"/>
  <c r="H59" i="35"/>
  <c r="L59" i="35" s="1"/>
  <c r="N59" i="35" s="1"/>
  <c r="O59" i="35" s="1"/>
  <c r="H50" i="35"/>
  <c r="L50" i="35" s="1"/>
  <c r="N50" i="35" s="1"/>
  <c r="O50" i="35" s="1"/>
  <c r="H60" i="35"/>
  <c r="L60" i="35" s="1"/>
  <c r="N60" i="35" s="1"/>
  <c r="O60" i="35" s="1"/>
  <c r="H51" i="35"/>
  <c r="L51" i="35" s="1"/>
  <c r="N51" i="35" s="1"/>
  <c r="O51" i="35" s="1"/>
  <c r="H52" i="35"/>
  <c r="L52" i="35" s="1"/>
  <c r="N52" i="35" s="1"/>
  <c r="O52" i="35" s="1"/>
  <c r="H53" i="33"/>
  <c r="L53" i="33" s="1"/>
  <c r="N53" i="33" s="1"/>
  <c r="O53" i="33" s="1"/>
  <c r="H58" i="33"/>
  <c r="L58" i="33" s="1"/>
  <c r="N58" i="33" s="1"/>
  <c r="O58" i="33" s="1"/>
  <c r="H55" i="33"/>
  <c r="L55" i="33" s="1"/>
  <c r="N55" i="33" s="1"/>
  <c r="O55" i="33" s="1"/>
  <c r="H56" i="33"/>
  <c r="L56" i="33" s="1"/>
  <c r="N56" i="33" s="1"/>
  <c r="O56" i="33" s="1"/>
  <c r="H57" i="33"/>
  <c r="L57" i="33" s="1"/>
  <c r="N57" i="33" s="1"/>
  <c r="O57" i="33" s="1"/>
  <c r="H49" i="33"/>
  <c r="H59" i="33"/>
  <c r="L59" i="33" s="1"/>
  <c r="N59" i="33" s="1"/>
  <c r="O59" i="33" s="1"/>
  <c r="H50" i="33"/>
  <c r="L50" i="33" s="1"/>
  <c r="N50" i="33" s="1"/>
  <c r="O50" i="33" s="1"/>
  <c r="H60" i="33"/>
  <c r="L60" i="33" s="1"/>
  <c r="N60" i="33" s="1"/>
  <c r="O60" i="33" s="1"/>
  <c r="H51" i="33"/>
  <c r="L51" i="33" s="1"/>
  <c r="N51" i="33" s="1"/>
  <c r="O51" i="33" s="1"/>
  <c r="H52" i="33"/>
  <c r="L52" i="33" s="1"/>
  <c r="N52" i="33" s="1"/>
  <c r="O52" i="33" s="1"/>
  <c r="H54" i="33"/>
  <c r="L54" i="33" s="1"/>
  <c r="N54" i="33" s="1"/>
  <c r="O54" i="33" s="1"/>
  <c r="H50" i="51"/>
  <c r="L50" i="51" s="1"/>
  <c r="N50" i="51" s="1"/>
  <c r="O50" i="51" s="1"/>
  <c r="H49" i="51"/>
  <c r="H52" i="51"/>
  <c r="L52" i="51" s="1"/>
  <c r="N52" i="51" s="1"/>
  <c r="O52" i="51" s="1"/>
  <c r="H51" i="51"/>
  <c r="L51" i="51" s="1"/>
  <c r="N51" i="51" s="1"/>
  <c r="O51" i="51" s="1"/>
  <c r="H53" i="51"/>
  <c r="L53" i="51" s="1"/>
  <c r="N53" i="51" s="1"/>
  <c r="O53" i="51" s="1"/>
  <c r="H54" i="51"/>
  <c r="L54" i="51" s="1"/>
  <c r="N54" i="51" s="1"/>
  <c r="O54" i="51" s="1"/>
  <c r="H55" i="51"/>
  <c r="L55" i="51" s="1"/>
  <c r="N55" i="51" s="1"/>
  <c r="O55" i="51" s="1"/>
  <c r="H56" i="51"/>
  <c r="L56" i="51" s="1"/>
  <c r="N56" i="51" s="1"/>
  <c r="O56" i="51" s="1"/>
  <c r="H57" i="51"/>
  <c r="L57" i="51" s="1"/>
  <c r="N57" i="51" s="1"/>
  <c r="O57" i="51" s="1"/>
  <c r="H58" i="51"/>
  <c r="L58" i="51" s="1"/>
  <c r="N58" i="51" s="1"/>
  <c r="O58" i="51" s="1"/>
  <c r="H59" i="51"/>
  <c r="L59" i="51" s="1"/>
  <c r="N59" i="51" s="1"/>
  <c r="O59" i="51" s="1"/>
  <c r="H60" i="51"/>
  <c r="L60" i="51" s="1"/>
  <c r="N60" i="51" s="1"/>
  <c r="O60" i="51" s="1"/>
  <c r="H53" i="48"/>
  <c r="L53" i="48" s="1"/>
  <c r="N53" i="48" s="1"/>
  <c r="O53" i="48" s="1"/>
  <c r="H58" i="48"/>
  <c r="L58" i="48" s="1"/>
  <c r="N58" i="48" s="1"/>
  <c r="O58" i="48" s="1"/>
  <c r="H49" i="48"/>
  <c r="H57" i="48"/>
  <c r="L57" i="48" s="1"/>
  <c r="N57" i="48" s="1"/>
  <c r="O57" i="48" s="1"/>
  <c r="H50" i="48"/>
  <c r="L50" i="48" s="1"/>
  <c r="N50" i="48" s="1"/>
  <c r="O50" i="48" s="1"/>
  <c r="H51" i="48"/>
  <c r="L51" i="48" s="1"/>
  <c r="N51" i="48" s="1"/>
  <c r="O51" i="48" s="1"/>
  <c r="H59" i="48"/>
  <c r="L59" i="48" s="1"/>
  <c r="N59" i="48" s="1"/>
  <c r="O59" i="48" s="1"/>
  <c r="H56" i="48"/>
  <c r="L56" i="48" s="1"/>
  <c r="N56" i="48" s="1"/>
  <c r="O56" i="48" s="1"/>
  <c r="H52" i="48"/>
  <c r="L52" i="48" s="1"/>
  <c r="N52" i="48" s="1"/>
  <c r="O52" i="48" s="1"/>
  <c r="H60" i="48"/>
  <c r="L60" i="48" s="1"/>
  <c r="N60" i="48" s="1"/>
  <c r="O60" i="48" s="1"/>
  <c r="H54" i="48"/>
  <c r="L54" i="48" s="1"/>
  <c r="N54" i="48" s="1"/>
  <c r="O54" i="48" s="1"/>
  <c r="H55" i="48"/>
  <c r="L55" i="48" s="1"/>
  <c r="N55" i="48" s="1"/>
  <c r="O55" i="48" s="1"/>
  <c r="H58" i="31"/>
  <c r="L58" i="31" s="1"/>
  <c r="N58" i="31" s="1"/>
  <c r="O58" i="31" s="1"/>
  <c r="H53" i="31"/>
  <c r="L53" i="31" s="1"/>
  <c r="N53" i="31" s="1"/>
  <c r="O53" i="31" s="1"/>
  <c r="H51" i="31"/>
  <c r="L51" i="31" s="1"/>
  <c r="N51" i="31" s="1"/>
  <c r="O51" i="31" s="1"/>
  <c r="H52" i="31"/>
  <c r="L52" i="31" s="1"/>
  <c r="N52" i="31" s="1"/>
  <c r="O52" i="31" s="1"/>
  <c r="H54" i="31"/>
  <c r="L54" i="31" s="1"/>
  <c r="N54" i="31" s="1"/>
  <c r="O54" i="31" s="1"/>
  <c r="H55" i="31"/>
  <c r="L55" i="31" s="1"/>
  <c r="N55" i="31" s="1"/>
  <c r="O55" i="31" s="1"/>
  <c r="H56" i="31"/>
  <c r="L56" i="31" s="1"/>
  <c r="N56" i="31" s="1"/>
  <c r="O56" i="31" s="1"/>
  <c r="H57" i="31"/>
  <c r="L57" i="31" s="1"/>
  <c r="N57" i="31" s="1"/>
  <c r="O57" i="31" s="1"/>
  <c r="H49" i="31"/>
  <c r="H59" i="31"/>
  <c r="L59" i="31" s="1"/>
  <c r="N59" i="31" s="1"/>
  <c r="O59" i="31" s="1"/>
  <c r="H50" i="31"/>
  <c r="L50" i="31" s="1"/>
  <c r="N50" i="31" s="1"/>
  <c r="O50" i="31" s="1"/>
  <c r="H60" i="31"/>
  <c r="L60" i="31" s="1"/>
  <c r="N60" i="31" s="1"/>
  <c r="O60" i="31" s="1"/>
  <c r="N6" i="41"/>
  <c r="L18" i="41"/>
  <c r="E20" i="41" s="1"/>
  <c r="L49" i="40"/>
  <c r="H18" i="4"/>
  <c r="L49" i="36"/>
  <c r="H61" i="36"/>
  <c r="AD49" i="36"/>
  <c r="AD61" i="36" s="1"/>
  <c r="AC61" i="36"/>
  <c r="AD20" i="30"/>
  <c r="AD32" i="30" s="1"/>
  <c r="AC32" i="30"/>
  <c r="AD20" i="28"/>
  <c r="AD32" i="28" s="1"/>
  <c r="AC32" i="28"/>
  <c r="N20" i="29"/>
  <c r="L32" i="29"/>
  <c r="E34" i="29" s="1"/>
  <c r="AD20" i="29"/>
  <c r="AD32" i="29" s="1"/>
  <c r="AC32" i="29"/>
  <c r="N20" i="28"/>
  <c r="L32" i="28"/>
  <c r="E34" i="28" s="1"/>
  <c r="N20" i="30"/>
  <c r="L32" i="30"/>
  <c r="E34" i="30" s="1"/>
  <c r="T35" i="30"/>
  <c r="F169" i="3" s="1"/>
  <c r="T35" i="28"/>
  <c r="D169" i="3" s="1"/>
  <c r="T35" i="29"/>
  <c r="E169" i="3" s="1"/>
  <c r="O7" i="4"/>
  <c r="O18" i="4" s="1"/>
  <c r="N18" i="4"/>
  <c r="L18" i="4"/>
  <c r="E20" i="4" s="1"/>
  <c r="E113" i="16" s="1"/>
  <c r="L17" i="5"/>
  <c r="N17" i="5" s="1"/>
  <c r="H18" i="5"/>
  <c r="T64" i="36" l="1"/>
  <c r="F219" i="3" s="1"/>
  <c r="H61" i="34"/>
  <c r="H61" i="32"/>
  <c r="AC61" i="34"/>
  <c r="AD61" i="34"/>
  <c r="W61" i="34"/>
  <c r="AA61" i="34"/>
  <c r="T63" i="34" s="1"/>
  <c r="E221" i="3" s="1"/>
  <c r="AD61" i="32"/>
  <c r="AC61" i="32"/>
  <c r="AA61" i="32"/>
  <c r="T63" i="32" s="1"/>
  <c r="T64" i="32" s="1"/>
  <c r="D219" i="3" s="1"/>
  <c r="AA49" i="40"/>
  <c r="W61" i="40"/>
  <c r="W61" i="32"/>
  <c r="AA49" i="53"/>
  <c r="W61" i="53"/>
  <c r="AA49" i="33"/>
  <c r="W61" i="33"/>
  <c r="AA49" i="35"/>
  <c r="W61" i="35"/>
  <c r="AA49" i="51"/>
  <c r="W61" i="51"/>
  <c r="AA49" i="48"/>
  <c r="W61" i="48"/>
  <c r="AA49" i="31"/>
  <c r="W61" i="31"/>
  <c r="AA49" i="39"/>
  <c r="W61" i="39"/>
  <c r="AA49" i="38"/>
  <c r="W61" i="38"/>
  <c r="H61" i="39"/>
  <c r="AB34" i="29"/>
  <c r="E172" i="3" s="1"/>
  <c r="E166" i="3"/>
  <c r="AB34" i="30"/>
  <c r="F172" i="3" s="1"/>
  <c r="F166" i="3"/>
  <c r="AB34" i="28"/>
  <c r="D172" i="3" s="1"/>
  <c r="D166" i="3"/>
  <c r="W118" i="6"/>
  <c r="E54" i="45" s="1"/>
  <c r="H61" i="53"/>
  <c r="H61" i="38"/>
  <c r="H61" i="40"/>
  <c r="L49" i="35"/>
  <c r="H61" i="35"/>
  <c r="N49" i="53"/>
  <c r="L61" i="53"/>
  <c r="E63" i="53" s="1"/>
  <c r="F196" i="3" s="1"/>
  <c r="L49" i="33"/>
  <c r="H61" i="33"/>
  <c r="L49" i="51"/>
  <c r="H61" i="51"/>
  <c r="H61" i="48"/>
  <c r="L49" i="48"/>
  <c r="H61" i="31"/>
  <c r="L49" i="31"/>
  <c r="E21" i="41"/>
  <c r="AB21" i="41" s="1"/>
  <c r="AB20" i="41"/>
  <c r="O6" i="41"/>
  <c r="O18" i="41" s="1"/>
  <c r="N18" i="41"/>
  <c r="N49" i="38"/>
  <c r="L61" i="38"/>
  <c r="E63" i="38" s="1"/>
  <c r="D206" i="3" s="1"/>
  <c r="N49" i="40"/>
  <c r="L61" i="40"/>
  <c r="E63" i="40" s="1"/>
  <c r="F206" i="3" s="1"/>
  <c r="N49" i="39"/>
  <c r="L61" i="39"/>
  <c r="E63" i="39" s="1"/>
  <c r="E206" i="3" s="1"/>
  <c r="E35" i="30"/>
  <c r="F167" i="3" s="1"/>
  <c r="E35" i="28"/>
  <c r="D167" i="3" s="1"/>
  <c r="E35" i="29"/>
  <c r="E167" i="3" s="1"/>
  <c r="N49" i="34"/>
  <c r="L61" i="34"/>
  <c r="E63" i="34" s="1"/>
  <c r="E216" i="3" s="1"/>
  <c r="N49" i="32"/>
  <c r="L61" i="32"/>
  <c r="E63" i="32" s="1"/>
  <c r="D216" i="3" s="1"/>
  <c r="N49" i="36"/>
  <c r="L61" i="36"/>
  <c r="E63" i="36" s="1"/>
  <c r="F216" i="3" s="1"/>
  <c r="D113" i="16"/>
  <c r="O20" i="30"/>
  <c r="O32" i="30" s="1"/>
  <c r="N32" i="30"/>
  <c r="O20" i="28"/>
  <c r="O32" i="28" s="1"/>
  <c r="N32" i="28"/>
  <c r="O20" i="29"/>
  <c r="O32" i="29" s="1"/>
  <c r="N32" i="29"/>
  <c r="E21" i="4"/>
  <c r="L18" i="5"/>
  <c r="E20" i="5" s="1"/>
  <c r="F113" i="16" s="1"/>
  <c r="O17" i="5"/>
  <c r="O18" i="5" s="1"/>
  <c r="N18" i="5"/>
  <c r="D114" i="16"/>
  <c r="D115" i="16" s="1"/>
  <c r="D221" i="3" l="1"/>
  <c r="Y116" i="6" s="1"/>
  <c r="T64" i="34"/>
  <c r="E219" i="3" s="1"/>
  <c r="AC49" i="40"/>
  <c r="AA61" i="40"/>
  <c r="T63" i="40" s="1"/>
  <c r="AB63" i="40" s="1"/>
  <c r="F212" i="3" s="1"/>
  <c r="AA61" i="33"/>
  <c r="T63" i="33" s="1"/>
  <c r="T64" i="33" s="1"/>
  <c r="AC49" i="33"/>
  <c r="AC49" i="53"/>
  <c r="AA61" i="53"/>
  <c r="T63" i="53" s="1"/>
  <c r="AA61" i="31"/>
  <c r="T63" i="31" s="1"/>
  <c r="T64" i="31" s="1"/>
  <c r="AC49" i="31"/>
  <c r="AC49" i="48"/>
  <c r="AA61" i="48"/>
  <c r="T63" i="48" s="1"/>
  <c r="AA61" i="51"/>
  <c r="T63" i="51" s="1"/>
  <c r="AC49" i="51"/>
  <c r="AA61" i="35"/>
  <c r="AC49" i="35"/>
  <c r="AB63" i="32"/>
  <c r="D222" i="3" s="1"/>
  <c r="AC49" i="38"/>
  <c r="AA61" i="38"/>
  <c r="T63" i="38" s="1"/>
  <c r="AB63" i="38" s="1"/>
  <c r="AC49" i="39"/>
  <c r="AA61" i="39"/>
  <c r="T63" i="39" s="1"/>
  <c r="AB63" i="39" s="1"/>
  <c r="E212" i="3" s="1"/>
  <c r="W117" i="6"/>
  <c r="E64" i="53"/>
  <c r="F197" i="3" s="1"/>
  <c r="O49" i="53"/>
  <c r="O61" i="53" s="1"/>
  <c r="N61" i="53"/>
  <c r="N49" i="35"/>
  <c r="L61" i="35"/>
  <c r="E63" i="35" s="1"/>
  <c r="N49" i="51"/>
  <c r="L61" i="51"/>
  <c r="E63" i="51" s="1"/>
  <c r="E196" i="3" s="1"/>
  <c r="N49" i="33"/>
  <c r="L61" i="33"/>
  <c r="E63" i="33" s="1"/>
  <c r="N49" i="48"/>
  <c r="L61" i="48"/>
  <c r="E63" i="48" s="1"/>
  <c r="D196" i="3" s="1"/>
  <c r="L61" i="31"/>
  <c r="E63" i="31" s="1"/>
  <c r="N49" i="31"/>
  <c r="I35" i="28"/>
  <c r="AB35" i="29"/>
  <c r="E170" i="3" s="1"/>
  <c r="E168" i="3" s="1"/>
  <c r="Y118" i="6"/>
  <c r="O49" i="39"/>
  <c r="O61" i="39" s="1"/>
  <c r="N61" i="39"/>
  <c r="E64" i="40"/>
  <c r="F207" i="3" s="1"/>
  <c r="E64" i="38"/>
  <c r="D207" i="3" s="1"/>
  <c r="E64" i="39"/>
  <c r="E207" i="3" s="1"/>
  <c r="O49" i="40"/>
  <c r="O61" i="40" s="1"/>
  <c r="N61" i="40"/>
  <c r="O49" i="38"/>
  <c r="O61" i="38" s="1"/>
  <c r="N61" i="38"/>
  <c r="AB35" i="30"/>
  <c r="F170" i="3" s="1"/>
  <c r="F168" i="3" s="1"/>
  <c r="AB35" i="28"/>
  <c r="D170" i="3" s="1"/>
  <c r="D168" i="3" s="1"/>
  <c r="O49" i="36"/>
  <c r="O61" i="36" s="1"/>
  <c r="N61" i="36"/>
  <c r="O49" i="32"/>
  <c r="O61" i="32" s="1"/>
  <c r="N61" i="32"/>
  <c r="O49" i="34"/>
  <c r="O61" i="34" s="1"/>
  <c r="N61" i="34"/>
  <c r="E64" i="36"/>
  <c r="F217" i="3" s="1"/>
  <c r="AB63" i="36"/>
  <c r="F222" i="3" s="1"/>
  <c r="E64" i="32"/>
  <c r="D217" i="3" s="1"/>
  <c r="E64" i="34"/>
  <c r="E217" i="3" s="1"/>
  <c r="AB63" i="34"/>
  <c r="E222" i="3" s="1"/>
  <c r="E114" i="16"/>
  <c r="E115" i="16" s="1"/>
  <c r="E21" i="5"/>
  <c r="R13" i="5"/>
  <c r="R13" i="4"/>
  <c r="F211" i="3" l="1"/>
  <c r="T64" i="40"/>
  <c r="F209" i="3" s="1"/>
  <c r="AD49" i="40"/>
  <c r="AD61" i="40" s="1"/>
  <c r="AC61" i="40"/>
  <c r="F201" i="3"/>
  <c r="AB63" i="53"/>
  <c r="F202" i="3" s="1"/>
  <c r="T64" i="53"/>
  <c r="F199" i="3" s="1"/>
  <c r="T63" i="35"/>
  <c r="AB63" i="35" s="1"/>
  <c r="AC61" i="53"/>
  <c r="AD49" i="53"/>
  <c r="AD61" i="53" s="1"/>
  <c r="AD49" i="33"/>
  <c r="AD61" i="33" s="1"/>
  <c r="AC61" i="33"/>
  <c r="AD49" i="35"/>
  <c r="AD61" i="35" s="1"/>
  <c r="AC61" i="35"/>
  <c r="AD49" i="51"/>
  <c r="AD61" i="51" s="1"/>
  <c r="AC61" i="51"/>
  <c r="E201" i="3"/>
  <c r="T64" i="51"/>
  <c r="E199" i="3" s="1"/>
  <c r="D201" i="3"/>
  <c r="T64" i="48"/>
  <c r="D199" i="3" s="1"/>
  <c r="AD49" i="48"/>
  <c r="AD61" i="48" s="1"/>
  <c r="AC61" i="48"/>
  <c r="AD49" i="31"/>
  <c r="AD61" i="31" s="1"/>
  <c r="AC61" i="31"/>
  <c r="E211" i="3"/>
  <c r="T64" i="39"/>
  <c r="E209" i="3" s="1"/>
  <c r="AD49" i="39"/>
  <c r="AD61" i="39" s="1"/>
  <c r="AC61" i="39"/>
  <c r="D211" i="3"/>
  <c r="T64" i="38"/>
  <c r="D209" i="3" s="1"/>
  <c r="Z118" i="6" s="1"/>
  <c r="E56" i="45" s="1"/>
  <c r="AC61" i="38"/>
  <c r="AD49" i="38"/>
  <c r="AD61" i="38" s="1"/>
  <c r="D212" i="3"/>
  <c r="Z117" i="6" s="1"/>
  <c r="W119" i="6"/>
  <c r="O54" i="45" s="1"/>
  <c r="Y54" i="45" s="1"/>
  <c r="AI52" i="45" s="1"/>
  <c r="E64" i="35"/>
  <c r="N61" i="35"/>
  <c r="O49" i="35"/>
  <c r="O61" i="35" s="1"/>
  <c r="AB63" i="33"/>
  <c r="E64" i="33"/>
  <c r="O49" i="33"/>
  <c r="O61" i="33" s="1"/>
  <c r="N61" i="33"/>
  <c r="E64" i="51"/>
  <c r="E197" i="3" s="1"/>
  <c r="AB63" i="51"/>
  <c r="E202" i="3" s="1"/>
  <c r="O49" i="51"/>
  <c r="O61" i="51" s="1"/>
  <c r="N61" i="51"/>
  <c r="E64" i="48"/>
  <c r="D197" i="3" s="1"/>
  <c r="AB63" i="48"/>
  <c r="D202" i="3" s="1"/>
  <c r="O49" i="48"/>
  <c r="O61" i="48" s="1"/>
  <c r="N61" i="48"/>
  <c r="O49" i="31"/>
  <c r="O61" i="31" s="1"/>
  <c r="N61" i="31"/>
  <c r="E64" i="31"/>
  <c r="AB63" i="31"/>
  <c r="Y117" i="6"/>
  <c r="W15" i="4"/>
  <c r="W10" i="4"/>
  <c r="W15" i="5"/>
  <c r="W10" i="5"/>
  <c r="AB64" i="34"/>
  <c r="E220" i="3" s="1"/>
  <c r="E218" i="3" s="1"/>
  <c r="AB64" i="32"/>
  <c r="D220" i="3" s="1"/>
  <c r="D218" i="3" s="1"/>
  <c r="AB64" i="36"/>
  <c r="F220" i="3" s="1"/>
  <c r="F218" i="3" s="1"/>
  <c r="F114" i="16"/>
  <c r="F115" i="16" s="1"/>
  <c r="W16" i="4"/>
  <c r="W14" i="5"/>
  <c r="W6" i="4"/>
  <c r="AA6" i="4" s="1"/>
  <c r="W7" i="4"/>
  <c r="W8" i="5"/>
  <c r="W11" i="5"/>
  <c r="W9" i="5"/>
  <c r="W7" i="5"/>
  <c r="W12" i="5"/>
  <c r="W6" i="5"/>
  <c r="AA6" i="5" s="1"/>
  <c r="W17" i="5"/>
  <c r="W16" i="5"/>
  <c r="W14" i="4"/>
  <c r="W9" i="4"/>
  <c r="W11" i="4"/>
  <c r="W8" i="4"/>
  <c r="W13" i="4"/>
  <c r="W17" i="4"/>
  <c r="W12" i="4"/>
  <c r="W13" i="5"/>
  <c r="AB64" i="40" l="1"/>
  <c r="F210" i="3" s="1"/>
  <c r="F208" i="3" s="1"/>
  <c r="AB64" i="53"/>
  <c r="F200" i="3" s="1"/>
  <c r="F198" i="3" s="1"/>
  <c r="AB64" i="39"/>
  <c r="E210" i="3" s="1"/>
  <c r="E208" i="3" s="1"/>
  <c r="T64" i="35"/>
  <c r="AB64" i="35" s="1"/>
  <c r="Z116" i="6"/>
  <c r="AB64" i="38"/>
  <c r="D210" i="3" s="1"/>
  <c r="D208" i="3" s="1"/>
  <c r="AB64" i="51"/>
  <c r="E200" i="3" s="1"/>
  <c r="E198" i="3" s="1"/>
  <c r="AB64" i="48"/>
  <c r="D200" i="3" s="1"/>
  <c r="D198" i="3" s="1"/>
  <c r="AB64" i="33"/>
  <c r="AB64" i="31"/>
  <c r="Y119" i="6"/>
  <c r="AA13" i="4"/>
  <c r="AC13" i="4" s="1"/>
  <c r="AD13" i="4" s="1"/>
  <c r="AA12" i="5"/>
  <c r="AC12" i="5" s="1"/>
  <c r="AD12" i="5" s="1"/>
  <c r="AA7" i="4"/>
  <c r="AC7" i="4" s="1"/>
  <c r="AD7" i="4" s="1"/>
  <c r="AA16" i="4"/>
  <c r="AC16" i="4" s="1"/>
  <c r="AD16" i="4" s="1"/>
  <c r="AA12" i="4"/>
  <c r="AC12" i="4" s="1"/>
  <c r="AD12" i="4" s="1"/>
  <c r="AA8" i="4"/>
  <c r="AC8" i="4" s="1"/>
  <c r="AD8" i="4" s="1"/>
  <c r="AA16" i="5"/>
  <c r="AC16" i="5" s="1"/>
  <c r="AD16" i="5" s="1"/>
  <c r="AA7" i="5"/>
  <c r="AC7" i="5" s="1"/>
  <c r="AD7" i="5" s="1"/>
  <c r="AA11" i="5"/>
  <c r="AC11" i="5" s="1"/>
  <c r="AD11" i="5" s="1"/>
  <c r="AA15" i="5"/>
  <c r="AC15" i="5" s="1"/>
  <c r="AD15" i="5" s="1"/>
  <c r="AA13" i="5"/>
  <c r="AC13" i="5" s="1"/>
  <c r="AD13" i="5" s="1"/>
  <c r="AA14" i="4"/>
  <c r="AC14" i="4" s="1"/>
  <c r="AD14" i="4" s="1"/>
  <c r="AA10" i="5"/>
  <c r="AC10" i="5" s="1"/>
  <c r="AD10" i="5" s="1"/>
  <c r="AA11" i="4"/>
  <c r="AC11" i="4" s="1"/>
  <c r="AD11" i="4" s="1"/>
  <c r="AA17" i="5"/>
  <c r="AC17" i="5" s="1"/>
  <c r="AD17" i="5" s="1"/>
  <c r="AA9" i="5"/>
  <c r="AC9" i="5" s="1"/>
  <c r="AD9" i="5" s="1"/>
  <c r="AA8" i="5"/>
  <c r="AC8" i="5" s="1"/>
  <c r="AD8" i="5" s="1"/>
  <c r="AA14" i="5"/>
  <c r="AC14" i="5" s="1"/>
  <c r="AD14" i="5" s="1"/>
  <c r="AA17" i="4"/>
  <c r="AC17" i="4" s="1"/>
  <c r="AD17" i="4" s="1"/>
  <c r="AA9" i="4"/>
  <c r="AC9" i="4" s="1"/>
  <c r="AD9" i="4" s="1"/>
  <c r="AA10" i="4"/>
  <c r="AC10" i="4" s="1"/>
  <c r="AD10" i="4" s="1"/>
  <c r="AA15" i="4"/>
  <c r="AC15" i="4" s="1"/>
  <c r="AD15" i="4" s="1"/>
  <c r="W18" i="5"/>
  <c r="AC6" i="4"/>
  <c r="W18" i="4"/>
  <c r="Z119" i="6" l="1"/>
  <c r="O56" i="45" s="1"/>
  <c r="Y56" i="45" s="1"/>
  <c r="AI54" i="45" s="1"/>
  <c r="AA18" i="4"/>
  <c r="T20" i="4" s="1"/>
  <c r="AB20" i="4" s="1"/>
  <c r="AC6" i="5"/>
  <c r="AA18" i="5"/>
  <c r="T20" i="5" s="1"/>
  <c r="AC18" i="4"/>
  <c r="AD6" i="4"/>
  <c r="AD18" i="4" s="1"/>
  <c r="T21" i="4" l="1"/>
  <c r="AB21" i="4" s="1"/>
  <c r="AB20" i="5"/>
  <c r="T21" i="5"/>
  <c r="AD6" i="5"/>
  <c r="AD18" i="5" s="1"/>
  <c r="AC18" i="5"/>
  <c r="AB21" i="5" l="1"/>
  <c r="E191" i="3"/>
  <c r="E161" i="3" s="1"/>
  <c r="E189" i="3"/>
  <c r="E159" i="3" s="1"/>
  <c r="E192" i="3"/>
  <c r="E162" i="3" s="1"/>
  <c r="E186" i="3"/>
  <c r="E156" i="3" s="1"/>
  <c r="D189" i="3"/>
  <c r="D159" i="3" s="1"/>
  <c r="D190" i="3"/>
  <c r="D160" i="3" s="1"/>
  <c r="F187" i="3"/>
  <c r="F157" i="3" s="1"/>
  <c r="E190" i="3"/>
  <c r="E160" i="3" s="1"/>
  <c r="D186" i="3"/>
  <c r="D156" i="3" s="1"/>
  <c r="D187" i="3"/>
  <c r="D157" i="3" s="1"/>
  <c r="E187" i="3"/>
  <c r="E157" i="3" s="1"/>
  <c r="F186" i="3"/>
  <c r="F156" i="3" s="1"/>
  <c r="D191" i="3"/>
  <c r="D161" i="3" s="1"/>
  <c r="F116" i="6" s="1"/>
  <c r="F192" i="3"/>
  <c r="F190" i="3"/>
  <c r="F191" i="3"/>
  <c r="F161" i="3" s="1"/>
  <c r="D192" i="3"/>
  <c r="D162" i="3" s="1"/>
  <c r="F117" i="6" s="1"/>
  <c r="F189" i="3"/>
  <c r="L12" i="6" l="1"/>
  <c r="L11" i="6"/>
  <c r="X119" i="6"/>
  <c r="AA119" i="6" s="1"/>
  <c r="X117" i="6"/>
  <c r="AA117" i="6" s="1"/>
  <c r="X118" i="6"/>
  <c r="E55" i="45" s="1"/>
  <c r="X116" i="6"/>
  <c r="AA116" i="6" s="1"/>
  <c r="D158" i="3"/>
  <c r="L13" i="6" s="1"/>
  <c r="E158" i="3"/>
  <c r="E188" i="3"/>
  <c r="D188" i="3"/>
  <c r="F160" i="3"/>
  <c r="F162" i="3"/>
  <c r="F159" i="3"/>
  <c r="F188" i="3"/>
  <c r="L9" i="6" l="1"/>
  <c r="E46" i="45" s="1"/>
  <c r="O55" i="45"/>
  <c r="Y55" i="45" s="1"/>
  <c r="AI53" i="45" s="1"/>
  <c r="Y57" i="45" s="1"/>
  <c r="Y48" i="45" s="1"/>
  <c r="T72" i="21" s="1"/>
  <c r="AA118" i="6"/>
  <c r="F158" i="3"/>
  <c r="L10" i="6"/>
  <c r="O46" i="45" s="1"/>
  <c r="Y46" i="45" l="1"/>
  <c r="S72"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 authorId="0" shapeId="0" xr:uid="{00000000-0006-0000-0100-000001000000}">
      <text>
        <r>
          <rPr>
            <b/>
            <sz val="12"/>
            <color indexed="81"/>
            <rFont val="MS P ゴシック"/>
            <family val="3"/>
            <charset val="128"/>
          </rPr>
          <t>登記事項証明書に記載されている
名称を記入してください。</t>
        </r>
      </text>
    </comment>
    <comment ref="N6" authorId="0" shapeId="0" xr:uid="{00000000-0006-0000-0100-000002000000}">
      <text>
        <r>
          <rPr>
            <b/>
            <sz val="12"/>
            <color indexed="81"/>
            <rFont val="MS P ゴシック"/>
            <family val="3"/>
            <charset val="128"/>
          </rPr>
          <t>登記事項証明書に記載されている
代表者の役職を記入して下さい。</t>
        </r>
      </text>
    </comment>
    <comment ref="Y6" authorId="0" shapeId="0" xr:uid="{00000000-0006-0000-0100-000003000000}">
      <text>
        <r>
          <rPr>
            <b/>
            <sz val="12"/>
            <color indexed="81"/>
            <rFont val="MS P ゴシック"/>
            <family val="3"/>
            <charset val="128"/>
          </rPr>
          <t>登記事項証明書に記載されている
代表者の氏名を記入して下さい。</t>
        </r>
      </text>
    </comment>
    <comment ref="J7" authorId="0" shapeId="0" xr:uid="{00000000-0006-0000-0100-000004000000}">
      <text>
        <r>
          <rPr>
            <b/>
            <sz val="12"/>
            <color indexed="81"/>
            <rFont val="MS P ゴシック"/>
            <family val="3"/>
            <charset val="128"/>
          </rPr>
          <t>登記事項証明書に記載されている
本社所在地を記入してください。</t>
        </r>
      </text>
    </comment>
    <comment ref="J10" authorId="0" shapeId="0" xr:uid="{00000000-0006-0000-0100-000005000000}">
      <text>
        <r>
          <rPr>
            <b/>
            <sz val="11"/>
            <color indexed="81"/>
            <rFont val="MS P ゴシック"/>
            <family val="3"/>
            <charset val="128"/>
          </rPr>
          <t>登記事項証明書に記載されている
資本金を記入してください。</t>
        </r>
      </text>
    </comment>
    <comment ref="J11" authorId="0" shapeId="0" xr:uid="{00000000-0006-0000-0100-000006000000}">
      <text>
        <r>
          <rPr>
            <sz val="12"/>
            <color indexed="81"/>
            <rFont val="MS P ゴシック"/>
            <family val="3"/>
            <charset val="128"/>
          </rPr>
          <t>ホームページがない場合は、
「</t>
        </r>
        <r>
          <rPr>
            <b/>
            <sz val="12"/>
            <color indexed="81"/>
            <rFont val="MS P ゴシック"/>
            <family val="3"/>
            <charset val="128"/>
          </rPr>
          <t>ホームページ無し</t>
        </r>
        <r>
          <rPr>
            <sz val="12"/>
            <color indexed="81"/>
            <rFont val="MS P ゴシック"/>
            <family val="3"/>
            <charset val="128"/>
          </rPr>
          <t>」と記載して下さい。</t>
        </r>
      </text>
    </comment>
    <comment ref="J12" authorId="0" shapeId="0" xr:uid="{00000000-0006-0000-0100-000007000000}">
      <text>
        <r>
          <rPr>
            <b/>
            <sz val="11"/>
            <color indexed="81"/>
            <rFont val="MS P ゴシック"/>
            <family val="3"/>
            <charset val="128"/>
          </rPr>
          <t xml:space="preserve">例１）○○（市町村名）工場、第○工場
例２）本社工場、本店、本社
</t>
        </r>
        <r>
          <rPr>
            <b/>
            <sz val="11"/>
            <color indexed="10"/>
            <rFont val="MS P ゴシック"/>
            <family val="3"/>
            <charset val="128"/>
          </rPr>
          <t>※ホームページで確認できる名称があれば、
そちらをご記入ください。</t>
        </r>
      </text>
    </comment>
    <comment ref="L13" authorId="0" shapeId="0" xr:uid="{00000000-0006-0000-0100-000008000000}">
      <text>
        <r>
          <rPr>
            <b/>
            <sz val="12"/>
            <color indexed="81"/>
            <rFont val="MS P ゴシック"/>
            <family val="3"/>
            <charset val="128"/>
          </rPr>
          <t>郵便番号を必ず
記入して下さい。</t>
        </r>
      </text>
    </comment>
    <comment ref="J14" authorId="0" shapeId="0" xr:uid="{00000000-0006-0000-0100-000009000000}">
      <text>
        <r>
          <rPr>
            <b/>
            <sz val="12"/>
            <color indexed="81"/>
            <rFont val="MS P ゴシック"/>
            <family val="3"/>
            <charset val="128"/>
          </rPr>
          <t>住所の記入誤りがないよう
ご注意ください！</t>
        </r>
        <r>
          <rPr>
            <sz val="9"/>
            <color indexed="81"/>
            <rFont val="MS P ゴシック"/>
            <family val="3"/>
            <charset val="128"/>
          </rPr>
          <t xml:space="preserve">
</t>
        </r>
      </text>
    </comment>
    <comment ref="L16" authorId="0" shapeId="0" xr:uid="{00000000-0006-0000-0100-00000A000000}">
      <text>
        <r>
          <rPr>
            <b/>
            <sz val="9"/>
            <color indexed="81"/>
            <rFont val="MS P ゴシック"/>
            <family val="3"/>
            <charset val="128"/>
          </rPr>
          <t>一番右の「原油換算シート」に
記入して下さい。</t>
        </r>
      </text>
    </comment>
    <comment ref="R16" authorId="0" shapeId="0" xr:uid="{A4F6DD2D-5304-4818-93FD-1D41B3A541AE}">
      <text>
        <r>
          <rPr>
            <b/>
            <sz val="9"/>
            <color indexed="81"/>
            <rFont val="MS P ゴシック"/>
            <family val="3"/>
            <charset val="128"/>
          </rPr>
          <t>一番右の「原油換算シート」に
記入して下さい。</t>
        </r>
      </text>
    </comment>
    <comment ref="X16" authorId="0" shapeId="0" xr:uid="{081A854D-C2F5-4B1E-A18D-6D41B03879E1}">
      <text>
        <r>
          <rPr>
            <b/>
            <sz val="9"/>
            <color indexed="81"/>
            <rFont val="MS P ゴシック"/>
            <family val="3"/>
            <charset val="128"/>
          </rPr>
          <t>一番右の「原油換算シート」に
記入して下さい。</t>
        </r>
      </text>
    </comment>
    <comment ref="L20" authorId="0" shapeId="0" xr:uid="{00000000-0006-0000-0100-00000D000000}">
      <text>
        <r>
          <rPr>
            <b/>
            <sz val="10"/>
            <color indexed="81"/>
            <rFont val="MS P ゴシック"/>
            <family val="3"/>
            <charset val="128"/>
          </rPr>
          <t xml:space="preserve">郵便番号を忘れずに
必ず記入して下さい！
</t>
        </r>
      </text>
    </comment>
    <comment ref="J21" authorId="0" shapeId="0" xr:uid="{00000000-0006-0000-0100-00000E000000}">
      <text>
        <r>
          <rPr>
            <b/>
            <sz val="14"/>
            <color indexed="10"/>
            <rFont val="MS P ゴシック"/>
            <family val="3"/>
            <charset val="128"/>
          </rPr>
          <t xml:space="preserve">記入誤りがないかよくご確認ください！
</t>
        </r>
        <r>
          <rPr>
            <b/>
            <sz val="14"/>
            <color indexed="81"/>
            <rFont val="MS P ゴシック"/>
            <family val="3"/>
            <charset val="128"/>
          </rPr>
          <t>県からの通知文書が届かない恐れがあります。</t>
        </r>
        <r>
          <rPr>
            <sz val="9"/>
            <color indexed="81"/>
            <rFont val="MS P ゴシック"/>
            <family val="3"/>
            <charset val="128"/>
          </rPr>
          <t xml:space="preserve">
</t>
        </r>
      </text>
    </comment>
    <comment ref="J27" authorId="0" shapeId="0" xr:uid="{00000000-0006-0000-0100-000012000000}">
      <text>
        <r>
          <rPr>
            <b/>
            <sz val="12"/>
            <color indexed="81"/>
            <rFont val="MS P ゴシック"/>
            <family val="3"/>
            <charset val="128"/>
          </rPr>
          <t>登記事項証明書に記載されている
本社所在地を記載して下さい。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34" authorId="0" shapeId="0" xr:uid="{00000000-0006-0000-0200-000001000000}">
      <text>
        <r>
          <rPr>
            <sz val="9"/>
            <color indexed="81"/>
            <rFont val="MS P ゴシック"/>
            <family val="3"/>
            <charset val="128"/>
          </rPr>
          <t>該当あるものに必ず「○」を記入して下さい。</t>
        </r>
      </text>
    </comment>
    <comment ref="Q34" authorId="0" shapeId="0" xr:uid="{00000000-0006-0000-0200-000002000000}">
      <text>
        <r>
          <rPr>
            <sz val="9"/>
            <color indexed="81"/>
            <rFont val="MS P ゴシック"/>
            <family val="3"/>
            <charset val="128"/>
          </rPr>
          <t>導入予定設備のカタログ等で
確認できる番号を記入してください。
記入例）JIS K5602の場合
①JISの該当欄に「○」
②規格名欄に「K5602」と記入</t>
        </r>
      </text>
    </comment>
    <comment ref="E36" authorId="0" shapeId="0" xr:uid="{00000000-0006-0000-0200-000003000000}">
      <text>
        <r>
          <rPr>
            <sz val="9"/>
            <color indexed="81"/>
            <rFont val="MS P ゴシック"/>
            <family val="3"/>
            <charset val="128"/>
          </rPr>
          <t>該当あるものに必ず「○」を記入して下さい。</t>
        </r>
      </text>
    </comment>
    <comment ref="Q36" authorId="0" shapeId="0" xr:uid="{00000000-0006-0000-0200-000004000000}">
      <text>
        <r>
          <rPr>
            <sz val="9"/>
            <color indexed="81"/>
            <rFont val="MS P ゴシック"/>
            <family val="3"/>
            <charset val="128"/>
          </rPr>
          <t>導入予定設備のカタログ等で
確認できる番号を記入してください。
記入例）ETV実証番号「051－1022」の場合
①環境省ETV実証事業の該当欄に「○」
②規格名欄に「051－1022」と記入</t>
        </r>
      </text>
    </comment>
    <comment ref="E38" authorId="0" shapeId="0" xr:uid="{00000000-0006-0000-0200-000005000000}">
      <text>
        <r>
          <rPr>
            <sz val="9"/>
            <color indexed="81"/>
            <rFont val="MS P ゴシック"/>
            <family val="3"/>
            <charset val="128"/>
          </rPr>
          <t>該当あるものに必ず「○」を記入して下さい。</t>
        </r>
      </text>
    </comment>
    <comment ref="E40" authorId="0" shapeId="0" xr:uid="{00000000-0006-0000-0200-000006000000}">
      <text>
        <r>
          <rPr>
            <sz val="9"/>
            <color indexed="81"/>
            <rFont val="MS P ゴシック"/>
            <family val="3"/>
            <charset val="128"/>
          </rPr>
          <t>該当あるものに必ず「○」を記入して下さい。</t>
        </r>
      </text>
    </comment>
    <comment ref="E42" authorId="0" shapeId="0" xr:uid="{00000000-0006-0000-0200-000007000000}">
      <text>
        <r>
          <rPr>
            <b/>
            <sz val="12"/>
            <color indexed="10"/>
            <rFont val="MS P ゴシック"/>
            <family val="3"/>
            <charset val="128"/>
          </rPr>
          <t>償却資産台帳（固定資産台帳）に登録しない事業は対象外です。</t>
        </r>
        <r>
          <rPr>
            <b/>
            <sz val="12"/>
            <color indexed="81"/>
            <rFont val="MS P ゴシック"/>
            <family val="3"/>
            <charset val="128"/>
          </rPr>
          <t xml:space="preserve">
登録年数は必ず税理士等へ事前に確認をしてください。</t>
        </r>
      </text>
    </comment>
    <comment ref="AB42" authorId="0" shapeId="0" xr:uid="{00000000-0006-0000-0200-000008000000}">
      <text>
        <r>
          <rPr>
            <b/>
            <sz val="12"/>
            <color indexed="81"/>
            <rFont val="MS P ゴシック"/>
            <family val="3"/>
            <charset val="128"/>
          </rPr>
          <t>台帳に登録できる年数かを
税理士等に必ず確認してください。</t>
        </r>
      </text>
    </comment>
    <comment ref="AB43" authorId="0" shapeId="0" xr:uid="{00000000-0006-0000-0200-000009000000}">
      <text>
        <r>
          <rPr>
            <b/>
            <sz val="12"/>
            <color indexed="81"/>
            <rFont val="MS P ゴシック"/>
            <family val="3"/>
            <charset val="128"/>
          </rPr>
          <t>台帳に登録できる年数かを
税理士等に必ず確認してください。</t>
        </r>
      </text>
    </comment>
    <comment ref="AB44" authorId="0" shapeId="0" xr:uid="{00000000-0006-0000-0200-00000A000000}">
      <text>
        <r>
          <rPr>
            <b/>
            <sz val="12"/>
            <color indexed="81"/>
            <rFont val="MS P ゴシック"/>
            <family val="3"/>
            <charset val="128"/>
          </rPr>
          <t>台帳に登録できる年数かを
税理士等に必ず確認してください。</t>
        </r>
      </text>
    </comment>
    <comment ref="E46" authorId="0" shapeId="0" xr:uid="{00000000-0006-0000-0200-00000B000000}">
      <text>
        <r>
          <rPr>
            <b/>
            <sz val="12"/>
            <color indexed="81"/>
            <rFont val="MS P ゴシック"/>
            <family val="3"/>
            <charset val="128"/>
          </rPr>
          <t>「入力」シートに漏れなく記入すれば、
自動的にこちらへ入力されます。</t>
        </r>
      </text>
    </comment>
    <comment ref="O46" authorId="0" shapeId="0" xr:uid="{00000000-0006-0000-0200-00000C000000}">
      <text>
        <r>
          <rPr>
            <b/>
            <sz val="12"/>
            <color indexed="81"/>
            <rFont val="MS P ゴシック"/>
            <family val="3"/>
            <charset val="128"/>
          </rPr>
          <t>「入力」シートに漏れなく記入すれば、
自動的にこちらへ入力されます。</t>
        </r>
      </text>
    </comment>
    <comment ref="Y46" authorId="0" shapeId="0" xr:uid="{00000000-0006-0000-0200-00000D000000}">
      <text>
        <r>
          <rPr>
            <b/>
            <sz val="12"/>
            <color indexed="81"/>
            <rFont val="MS P ゴシック"/>
            <family val="3"/>
            <charset val="128"/>
          </rPr>
          <t>「入力」シートに漏れなく記入すれば、
自動的にこちらへ入力されます。</t>
        </r>
      </text>
    </comment>
    <comment ref="Y48" authorId="0" shapeId="0" xr:uid="{00000000-0006-0000-0200-00000E000000}">
      <text>
        <r>
          <rPr>
            <b/>
            <sz val="12"/>
            <color indexed="81"/>
            <rFont val="MS P ゴシック"/>
            <family val="3"/>
            <charset val="128"/>
          </rPr>
          <t>「入力」シートに漏れなく記入すれば、
自動的にこちらへ入力されます。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8" authorId="0" shapeId="0" xr:uid="{00000000-0006-0000-0400-000001000000}">
      <text>
        <r>
          <rPr>
            <b/>
            <sz val="12"/>
            <color indexed="81"/>
            <rFont val="MS P ゴシック"/>
            <family val="3"/>
            <charset val="128"/>
          </rPr>
          <t>作成日を忘れずにご記入ください。
（申請日と同じ日で問題ありません。）</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7" authorId="0" shapeId="0" xr:uid="{00000000-0006-0000-0600-000001000000}">
      <text>
        <r>
          <rPr>
            <sz val="9"/>
            <color indexed="81"/>
            <rFont val="MS P ゴシック"/>
            <family val="3"/>
            <charset val="128"/>
          </rPr>
          <t xml:space="preserve">車の燃料以外について記載してください。
</t>
        </r>
        <r>
          <rPr>
            <b/>
            <sz val="9"/>
            <color indexed="81"/>
            <rFont val="MS P ゴシック"/>
            <family val="3"/>
            <charset val="128"/>
          </rPr>
          <t>※該当ない場合は未記入</t>
        </r>
      </text>
    </comment>
    <comment ref="F7" authorId="0" shapeId="0" xr:uid="{00000000-0006-0000-0600-000002000000}">
      <text>
        <r>
          <rPr>
            <sz val="9"/>
            <color indexed="81"/>
            <rFont val="MS P ゴシック"/>
            <family val="3"/>
            <charset val="128"/>
          </rPr>
          <t xml:space="preserve">車の燃料以外について記載してください。
</t>
        </r>
        <r>
          <rPr>
            <b/>
            <sz val="9"/>
            <color indexed="81"/>
            <rFont val="MS P ゴシック"/>
            <family val="3"/>
            <charset val="128"/>
          </rPr>
          <t>※該当ない場合は未記入</t>
        </r>
      </text>
    </comment>
    <comment ref="G7" authorId="0" shapeId="0" xr:uid="{00000000-0006-0000-0600-000003000000}">
      <text>
        <r>
          <rPr>
            <sz val="9"/>
            <color indexed="81"/>
            <rFont val="MS P ゴシック"/>
            <family val="3"/>
            <charset val="128"/>
          </rPr>
          <t xml:space="preserve">車の燃料以外について記載してください。
</t>
        </r>
        <r>
          <rPr>
            <b/>
            <sz val="9"/>
            <color indexed="81"/>
            <rFont val="MS P ゴシック"/>
            <family val="3"/>
            <charset val="128"/>
          </rPr>
          <t>※該当ない場合は未記入</t>
        </r>
      </text>
    </comment>
    <comment ref="E16" authorId="0" shapeId="0" xr:uid="{00000000-0006-0000-0600-000004000000}">
      <text>
        <r>
          <rPr>
            <sz val="9"/>
            <color indexed="81"/>
            <rFont val="MS P ゴシック"/>
            <family val="3"/>
            <charset val="128"/>
          </rPr>
          <t>《要注意!!》
単位が</t>
        </r>
        <r>
          <rPr>
            <b/>
            <sz val="9"/>
            <color indexed="81"/>
            <rFont val="MS P ゴシック"/>
            <family val="3"/>
            <charset val="128"/>
          </rPr>
          <t>"</t>
        </r>
        <r>
          <rPr>
            <b/>
            <u/>
            <sz val="9"/>
            <color indexed="81"/>
            <rFont val="MS P ゴシック"/>
            <family val="3"/>
            <charset val="128"/>
          </rPr>
          <t>千</t>
        </r>
        <r>
          <rPr>
            <b/>
            <sz val="9"/>
            <color indexed="81"/>
            <rFont val="MS P ゴシック"/>
            <family val="3"/>
            <charset val="128"/>
          </rPr>
          <t>kWh"</t>
        </r>
        <r>
          <rPr>
            <sz val="9"/>
            <color indexed="81"/>
            <rFont val="MS P ゴシック"/>
            <family val="3"/>
            <charset val="128"/>
          </rPr>
          <t>となっていますので、請求書の値そのままではなく、
1/1000に必ずしてください！</t>
        </r>
      </text>
    </comment>
    <comment ref="F16" authorId="0" shapeId="0" xr:uid="{00000000-0006-0000-0600-000005000000}">
      <text>
        <r>
          <rPr>
            <sz val="9"/>
            <color indexed="81"/>
            <rFont val="MS P ゴシック"/>
            <family val="3"/>
            <charset val="128"/>
          </rPr>
          <t>《要注意!!》
単位が"</t>
        </r>
        <r>
          <rPr>
            <b/>
            <u/>
            <sz val="9"/>
            <color indexed="81"/>
            <rFont val="MS P ゴシック"/>
            <family val="3"/>
            <charset val="128"/>
          </rPr>
          <t>千</t>
        </r>
        <r>
          <rPr>
            <b/>
            <sz val="9"/>
            <color indexed="81"/>
            <rFont val="MS P ゴシック"/>
            <family val="3"/>
            <charset val="128"/>
          </rPr>
          <t>kWh</t>
        </r>
        <r>
          <rPr>
            <sz val="9"/>
            <color indexed="81"/>
            <rFont val="MS P ゴシック"/>
            <family val="3"/>
            <charset val="128"/>
          </rPr>
          <t>"となっていますので、請求書の値そのままではなく、
1/1000に必ずしてください！</t>
        </r>
      </text>
    </comment>
    <comment ref="G16" authorId="0" shapeId="0" xr:uid="{00000000-0006-0000-0600-000006000000}">
      <text>
        <r>
          <rPr>
            <sz val="9"/>
            <color indexed="81"/>
            <rFont val="MS P ゴシック"/>
            <family val="3"/>
            <charset val="128"/>
          </rPr>
          <t>《要注意!!》
単位が"</t>
        </r>
        <r>
          <rPr>
            <b/>
            <u/>
            <sz val="9"/>
            <color indexed="81"/>
            <rFont val="MS P ゴシック"/>
            <family val="3"/>
            <charset val="128"/>
          </rPr>
          <t>千</t>
        </r>
        <r>
          <rPr>
            <b/>
            <sz val="9"/>
            <color indexed="81"/>
            <rFont val="MS P ゴシック"/>
            <family val="3"/>
            <charset val="128"/>
          </rPr>
          <t>kWh</t>
        </r>
        <r>
          <rPr>
            <sz val="9"/>
            <color indexed="81"/>
            <rFont val="MS P ゴシック"/>
            <family val="3"/>
            <charset val="128"/>
          </rPr>
          <t>"となっていますので、
請求書の値そのままではなく、
1/1000に必ずしてください！</t>
        </r>
      </text>
    </comment>
  </commentList>
</comments>
</file>

<file path=xl/sharedStrings.xml><?xml version="1.0" encoding="utf-8"?>
<sst xmlns="http://schemas.openxmlformats.org/spreadsheetml/2006/main" count="5437" uniqueCount="1453">
  <si>
    <t>月</t>
    <rPh sb="0" eb="1">
      <t>ツキ</t>
    </rPh>
    <phoneticPr fontId="2"/>
  </si>
  <si>
    <t>合計</t>
    <rPh sb="0" eb="2">
      <t>ゴウケイ</t>
    </rPh>
    <phoneticPr fontId="2"/>
  </si>
  <si>
    <t>冷房用COP</t>
    <rPh sb="0" eb="3">
      <t>レイボウヨウ</t>
    </rPh>
    <phoneticPr fontId="2"/>
  </si>
  <si>
    <t>暖房用COP</t>
    <rPh sb="0" eb="3">
      <t>ダンボウヨウ</t>
    </rPh>
    <phoneticPr fontId="2"/>
  </si>
  <si>
    <t>さいたま市</t>
    <rPh sb="4" eb="5">
      <t>シ</t>
    </rPh>
    <phoneticPr fontId="2"/>
  </si>
  <si>
    <t>熊谷市</t>
    <rPh sb="0" eb="3">
      <t>クマガヤシ</t>
    </rPh>
    <phoneticPr fontId="2"/>
  </si>
  <si>
    <t>秩父市</t>
    <rPh sb="0" eb="3">
      <t>チチブシ</t>
    </rPh>
    <phoneticPr fontId="2"/>
  </si>
  <si>
    <t>t-CO2/年</t>
    <rPh sb="6" eb="7">
      <t>ネン</t>
    </rPh>
    <phoneticPr fontId="2"/>
  </si>
  <si>
    <t>運転時間</t>
    <rPh sb="0" eb="2">
      <t>ウンテン</t>
    </rPh>
    <rPh sb="2" eb="4">
      <t>ジカン</t>
    </rPh>
    <phoneticPr fontId="2"/>
  </si>
  <si>
    <t>h</t>
    <phoneticPr fontId="2"/>
  </si>
  <si>
    <t>－</t>
    <phoneticPr fontId="2"/>
  </si>
  <si>
    <t>Kwh/月</t>
    <rPh sb="4" eb="5">
      <t>ツキ</t>
    </rPh>
    <phoneticPr fontId="2"/>
  </si>
  <si>
    <t>W</t>
    <phoneticPr fontId="2"/>
  </si>
  <si>
    <t>kwh/年</t>
    <rPh sb="4" eb="5">
      <t>ネン</t>
    </rPh>
    <phoneticPr fontId="2"/>
  </si>
  <si>
    <t>記号</t>
    <rPh sb="0" eb="2">
      <t>キゴウ</t>
    </rPh>
    <phoneticPr fontId="2"/>
  </si>
  <si>
    <t>単位</t>
    <rPh sb="0" eb="2">
      <t>タンイ</t>
    </rPh>
    <phoneticPr fontId="2"/>
  </si>
  <si>
    <t>①</t>
    <phoneticPr fontId="2"/>
  </si>
  <si>
    <t>②</t>
    <phoneticPr fontId="2"/>
  </si>
  <si>
    <t>③</t>
    <phoneticPr fontId="2"/>
  </si>
  <si>
    <t>④</t>
    <phoneticPr fontId="2"/>
  </si>
  <si>
    <t>⑤</t>
    <phoneticPr fontId="2"/>
  </si>
  <si>
    <t>⑧</t>
    <phoneticPr fontId="2"/>
  </si>
  <si>
    <t>⑨</t>
    <phoneticPr fontId="2"/>
  </si>
  <si>
    <t>⑫年間空調消費電力の削減量</t>
    <rPh sb="1" eb="3">
      <t>ネンカン</t>
    </rPh>
    <rPh sb="3" eb="5">
      <t>クウチョウ</t>
    </rPh>
    <rPh sb="5" eb="7">
      <t>ショウヒ</t>
    </rPh>
    <rPh sb="7" eb="9">
      <t>デンリョク</t>
    </rPh>
    <rPh sb="10" eb="12">
      <t>サクゲン</t>
    </rPh>
    <rPh sb="12" eb="13">
      <t>リョウ</t>
    </rPh>
    <phoneticPr fontId="2"/>
  </si>
  <si>
    <t>⑫＝⑩合計＋⑪合計</t>
    <rPh sb="3" eb="5">
      <t>ゴウケイ</t>
    </rPh>
    <rPh sb="7" eb="9">
      <t>ゴウケイ</t>
    </rPh>
    <phoneticPr fontId="2"/>
  </si>
  <si>
    <t>⑫＝⑩＋⑪</t>
    <phoneticPr fontId="2"/>
  </si>
  <si>
    <t>月の平均営業・操業日数</t>
    <rPh sb="0" eb="1">
      <t>ツキ</t>
    </rPh>
    <rPh sb="2" eb="4">
      <t>ヘイキン</t>
    </rPh>
    <rPh sb="4" eb="6">
      <t>エイギョウ</t>
    </rPh>
    <rPh sb="7" eb="9">
      <t>ソウギョウ</t>
    </rPh>
    <rPh sb="9" eb="11">
      <t>ニッスウ</t>
    </rPh>
    <phoneticPr fontId="2"/>
  </si>
  <si>
    <t>kWh/月</t>
    <rPh sb="4" eb="5">
      <t>ツキ</t>
    </rPh>
    <phoneticPr fontId="2"/>
  </si>
  <si>
    <t>⑬年間CO2の削減量</t>
    <rPh sb="1" eb="3">
      <t>ネンカン</t>
    </rPh>
    <rPh sb="7" eb="9">
      <t>サクゲン</t>
    </rPh>
    <rPh sb="9" eb="10">
      <t>リョウ</t>
    </rPh>
    <phoneticPr fontId="2"/>
  </si>
  <si>
    <t>⑦＝
②×③×⑤</t>
    <phoneticPr fontId="2"/>
  </si>
  <si>
    <t>⑥＝
①×③×④</t>
    <phoneticPr fontId="2"/>
  </si>
  <si>
    <t>t-CO2/月</t>
    <rPh sb="6" eb="7">
      <t>ツキ</t>
    </rPh>
    <phoneticPr fontId="2"/>
  </si>
  <si>
    <t>⑬＝⑫×0.495/1000</t>
    <phoneticPr fontId="2"/>
  </si>
  <si>
    <t>⑫×0.495/1000</t>
    <phoneticPr fontId="2"/>
  </si>
  <si>
    <t>一日の平均営業・操業時間</t>
    <rPh sb="0" eb="2">
      <t>イチニチ</t>
    </rPh>
    <rPh sb="3" eb="5">
      <t>ヘイキン</t>
    </rPh>
    <rPh sb="5" eb="7">
      <t>エイギョウ</t>
    </rPh>
    <rPh sb="8" eb="10">
      <t>ソウギョウ</t>
    </rPh>
    <rPh sb="10" eb="12">
      <t>ジカン</t>
    </rPh>
    <phoneticPr fontId="2"/>
  </si>
  <si>
    <t>推定年間冷房負荷削減量</t>
    <rPh sb="0" eb="2">
      <t>スイテイ</t>
    </rPh>
    <rPh sb="2" eb="4">
      <t>ネンカン</t>
    </rPh>
    <rPh sb="4" eb="6">
      <t>レイボウ</t>
    </rPh>
    <rPh sb="6" eb="8">
      <t>フカ</t>
    </rPh>
    <rPh sb="8" eb="10">
      <t>サクゲン</t>
    </rPh>
    <rPh sb="10" eb="11">
      <t>リョウ</t>
    </rPh>
    <phoneticPr fontId="2"/>
  </si>
  <si>
    <t>推定年間暖房負荷削減量</t>
    <rPh sb="0" eb="2">
      <t>スイテイ</t>
    </rPh>
    <rPh sb="2" eb="4">
      <t>ネンカン</t>
    </rPh>
    <rPh sb="4" eb="6">
      <t>ダンボウ</t>
    </rPh>
    <rPh sb="6" eb="8">
      <t>フカ</t>
    </rPh>
    <rPh sb="8" eb="10">
      <t>サクゲン</t>
    </rPh>
    <rPh sb="10" eb="11">
      <t>リョウ</t>
    </rPh>
    <phoneticPr fontId="2"/>
  </si>
  <si>
    <t>空調消費電力
削減量</t>
    <rPh sb="0" eb="2">
      <t>クウチョウ</t>
    </rPh>
    <rPh sb="2" eb="4">
      <t>ショウヒ</t>
    </rPh>
    <rPh sb="4" eb="6">
      <t>デンリョク</t>
    </rPh>
    <rPh sb="7" eb="9">
      <t>サクゲン</t>
    </rPh>
    <rPh sb="9" eb="10">
      <t>リョウ</t>
    </rPh>
    <phoneticPr fontId="2"/>
  </si>
  <si>
    <t>暖房時消費電力削減量</t>
    <rPh sb="0" eb="2">
      <t>ダンボウ</t>
    </rPh>
    <rPh sb="2" eb="3">
      <t>ジ</t>
    </rPh>
    <rPh sb="3" eb="5">
      <t>ショウヒ</t>
    </rPh>
    <rPh sb="5" eb="7">
      <t>デンリョク</t>
    </rPh>
    <rPh sb="7" eb="9">
      <t>サクゲン</t>
    </rPh>
    <rPh sb="9" eb="10">
      <t>リョウ</t>
    </rPh>
    <phoneticPr fontId="2"/>
  </si>
  <si>
    <t>冷房時消費電力削減量</t>
    <rPh sb="0" eb="2">
      <t>レイボウ</t>
    </rPh>
    <rPh sb="2" eb="3">
      <t>ジ</t>
    </rPh>
    <rPh sb="3" eb="5">
      <t>ショウヒ</t>
    </rPh>
    <rPh sb="5" eb="7">
      <t>デンリョク</t>
    </rPh>
    <rPh sb="7" eb="9">
      <t>サクゲン</t>
    </rPh>
    <rPh sb="9" eb="10">
      <t>リョウ</t>
    </rPh>
    <phoneticPr fontId="2"/>
  </si>
  <si>
    <t>冷房負荷
削減量</t>
    <rPh sb="0" eb="2">
      <t>レイボウ</t>
    </rPh>
    <rPh sb="2" eb="4">
      <t>フカ</t>
    </rPh>
    <rPh sb="5" eb="7">
      <t>サクゲン</t>
    </rPh>
    <rPh sb="7" eb="8">
      <t>リョウ</t>
    </rPh>
    <phoneticPr fontId="2"/>
  </si>
  <si>
    <t>暖房負荷
削減量</t>
    <rPh sb="0" eb="2">
      <t>ダンボウ</t>
    </rPh>
    <rPh sb="2" eb="4">
      <t>フカ</t>
    </rPh>
    <rPh sb="5" eb="7">
      <t>サクゲン</t>
    </rPh>
    <rPh sb="7" eb="8">
      <t>リョウ</t>
    </rPh>
    <phoneticPr fontId="2"/>
  </si>
  <si>
    <t>冷房負荷
係数
（日射）</t>
    <rPh sb="0" eb="2">
      <t>レイボウ</t>
    </rPh>
    <rPh sb="2" eb="4">
      <t>フカ</t>
    </rPh>
    <rPh sb="5" eb="7">
      <t>ケイスウ</t>
    </rPh>
    <rPh sb="9" eb="11">
      <t>ニッシャ</t>
    </rPh>
    <phoneticPr fontId="2"/>
  </si>
  <si>
    <t>暖房負荷
係数
(温度差）</t>
    <rPh sb="0" eb="2">
      <t>ダンボウ</t>
    </rPh>
    <rPh sb="2" eb="4">
      <t>フカ</t>
    </rPh>
    <rPh sb="5" eb="7">
      <t>ケイスウ</t>
    </rPh>
    <rPh sb="9" eb="12">
      <t>オンドサ</t>
    </rPh>
    <phoneticPr fontId="2"/>
  </si>
  <si>
    <t>CO２
削減量</t>
    <rPh sb="4" eb="6">
      <t>サクゲン</t>
    </rPh>
    <rPh sb="6" eb="7">
      <t>リョウ</t>
    </rPh>
    <phoneticPr fontId="2"/>
  </si>
  <si>
    <t>空調消費電力削減量</t>
    <rPh sb="0" eb="2">
      <t>クウチョウ</t>
    </rPh>
    <rPh sb="2" eb="4">
      <t>ショウヒ</t>
    </rPh>
    <rPh sb="4" eb="6">
      <t>デンリョク</t>
    </rPh>
    <rPh sb="6" eb="8">
      <t>サクゲン</t>
    </rPh>
    <rPh sb="8" eb="9">
      <t>リョウ</t>
    </rPh>
    <phoneticPr fontId="2"/>
  </si>
  <si>
    <t>種別</t>
    <rPh sb="0" eb="2">
      <t>シュベツ</t>
    </rPh>
    <phoneticPr fontId="2"/>
  </si>
  <si>
    <t>共通事項</t>
    <rPh sb="0" eb="2">
      <t>キョウツウ</t>
    </rPh>
    <rPh sb="2" eb="4">
      <t>ジコウ</t>
    </rPh>
    <phoneticPr fontId="2"/>
  </si>
  <si>
    <t>冷房負荷</t>
    <rPh sb="0" eb="2">
      <t>レイボウ</t>
    </rPh>
    <rPh sb="2" eb="4">
      <t>フカ</t>
    </rPh>
    <phoneticPr fontId="2"/>
  </si>
  <si>
    <t>暖房負荷</t>
    <rPh sb="0" eb="2">
      <t>ダンボウ</t>
    </rPh>
    <rPh sb="2" eb="4">
      <t>フカ</t>
    </rPh>
    <phoneticPr fontId="2"/>
  </si>
  <si>
    <t>方位</t>
    <rPh sb="0" eb="2">
      <t>ホウイ</t>
    </rPh>
    <phoneticPr fontId="2"/>
  </si>
  <si>
    <t>面積</t>
    <rPh sb="0" eb="2">
      <t>メンセキ</t>
    </rPh>
    <phoneticPr fontId="2"/>
  </si>
  <si>
    <t>熱貫流率</t>
    <rPh sb="0" eb="1">
      <t>ネツ</t>
    </rPh>
    <rPh sb="1" eb="3">
      <t>カンリュウ</t>
    </rPh>
    <rPh sb="3" eb="4">
      <t>リツ</t>
    </rPh>
    <phoneticPr fontId="2"/>
  </si>
  <si>
    <t>時</t>
    <rPh sb="0" eb="1">
      <t>ジ</t>
    </rPh>
    <phoneticPr fontId="2"/>
  </si>
  <si>
    <t>温度差</t>
    <rPh sb="0" eb="3">
      <t>オンドサ</t>
    </rPh>
    <phoneticPr fontId="2"/>
  </si>
  <si>
    <t>実効温度差</t>
    <rPh sb="0" eb="2">
      <t>ジッコウ</t>
    </rPh>
    <rPh sb="2" eb="5">
      <t>オンドサ</t>
    </rPh>
    <phoneticPr fontId="2"/>
  </si>
  <si>
    <t>m2</t>
    <phoneticPr fontId="2"/>
  </si>
  <si>
    <t>W/m2℃</t>
    <phoneticPr fontId="2"/>
  </si>
  <si>
    <t>W</t>
    <phoneticPr fontId="2"/>
  </si>
  <si>
    <t>W</t>
    <phoneticPr fontId="2"/>
  </si>
  <si>
    <t>熱通過率</t>
    <rPh sb="0" eb="1">
      <t>ネツ</t>
    </rPh>
    <rPh sb="1" eb="3">
      <t>ツウカ</t>
    </rPh>
    <rPh sb="3" eb="4">
      <t>リツ</t>
    </rPh>
    <phoneticPr fontId="2"/>
  </si>
  <si>
    <t>屋根</t>
    <rPh sb="0" eb="2">
      <t>ヤネ</t>
    </rPh>
    <phoneticPr fontId="2"/>
  </si>
  <si>
    <t>外壁</t>
    <rPh sb="0" eb="2">
      <t>ガイヘキ</t>
    </rPh>
    <phoneticPr fontId="2"/>
  </si>
  <si>
    <t>北</t>
    <rPh sb="0" eb="1">
      <t>キタ</t>
    </rPh>
    <phoneticPr fontId="2"/>
  </si>
  <si>
    <t>北東</t>
    <rPh sb="0" eb="2">
      <t>ホクトウ</t>
    </rPh>
    <phoneticPr fontId="2"/>
  </si>
  <si>
    <t>東</t>
    <rPh sb="0" eb="1">
      <t>ヒガシ</t>
    </rPh>
    <phoneticPr fontId="2"/>
  </si>
  <si>
    <t>南東</t>
    <rPh sb="0" eb="2">
      <t>ナントウ</t>
    </rPh>
    <phoneticPr fontId="2"/>
  </si>
  <si>
    <t>南</t>
    <rPh sb="0" eb="1">
      <t>ミナミ</t>
    </rPh>
    <phoneticPr fontId="2"/>
  </si>
  <si>
    <t>南西</t>
    <rPh sb="0" eb="2">
      <t>ナンセイ</t>
    </rPh>
    <phoneticPr fontId="2"/>
  </si>
  <si>
    <t>西</t>
    <rPh sb="0" eb="1">
      <t>ニシ</t>
    </rPh>
    <phoneticPr fontId="2"/>
  </si>
  <si>
    <t>北西</t>
    <rPh sb="0" eb="2">
      <t>ホクセイ</t>
    </rPh>
    <phoneticPr fontId="2"/>
  </si>
  <si>
    <t>窓ガラス</t>
    <rPh sb="0" eb="1">
      <t>マド</t>
    </rPh>
    <phoneticPr fontId="2"/>
  </si>
  <si>
    <t>小計</t>
    <rPh sb="0" eb="2">
      <t>ショウケイ</t>
    </rPh>
    <phoneticPr fontId="2"/>
  </si>
  <si>
    <t>遮蔽係数</t>
    <rPh sb="0" eb="2">
      <t>シャヘイ</t>
    </rPh>
    <rPh sb="2" eb="4">
      <t>ケイスウ</t>
    </rPh>
    <phoneticPr fontId="2"/>
  </si>
  <si>
    <t>標準日射取得</t>
    <rPh sb="0" eb="2">
      <t>ヒョウジュン</t>
    </rPh>
    <rPh sb="2" eb="4">
      <t>ニッシャ</t>
    </rPh>
    <rPh sb="4" eb="6">
      <t>シュトク</t>
    </rPh>
    <phoneticPr fontId="2"/>
  </si>
  <si>
    <t>W/m2</t>
    <phoneticPr fontId="2"/>
  </si>
  <si>
    <t>日射</t>
    <rPh sb="0" eb="2">
      <t>ニッシャ</t>
    </rPh>
    <phoneticPr fontId="2"/>
  </si>
  <si>
    <t>W</t>
    <phoneticPr fontId="2"/>
  </si>
  <si>
    <t>表－２の結果</t>
    <rPh sb="0" eb="1">
      <t>ヒョウ</t>
    </rPh>
    <rPh sb="4" eb="6">
      <t>ケッカ</t>
    </rPh>
    <phoneticPr fontId="2"/>
  </si>
  <si>
    <t>表－３の結果</t>
    <rPh sb="0" eb="1">
      <t>ヒョウ</t>
    </rPh>
    <rPh sb="4" eb="6">
      <t>ケッカ</t>
    </rPh>
    <phoneticPr fontId="2"/>
  </si>
  <si>
    <t>削減できる熱量</t>
    <rPh sb="0" eb="2">
      <t>サクゲン</t>
    </rPh>
    <rPh sb="5" eb="7">
      <t>ネツリョウ</t>
    </rPh>
    <phoneticPr fontId="2"/>
  </si>
  <si>
    <t>項目</t>
    <rPh sb="0" eb="2">
      <t>コウモク</t>
    </rPh>
    <phoneticPr fontId="2"/>
  </si>
  <si>
    <t>設置されている冷熱源のCOPが把握できている場合は、その値を記入する。</t>
    <rPh sb="0" eb="2">
      <t>セッチ</t>
    </rPh>
    <rPh sb="7" eb="8">
      <t>レイ</t>
    </rPh>
    <rPh sb="8" eb="10">
      <t>ネツゲン</t>
    </rPh>
    <rPh sb="15" eb="17">
      <t>ハアク</t>
    </rPh>
    <rPh sb="22" eb="24">
      <t>バアイ</t>
    </rPh>
    <rPh sb="28" eb="29">
      <t>アタイ</t>
    </rPh>
    <rPh sb="30" eb="32">
      <t>キニュウ</t>
    </rPh>
    <phoneticPr fontId="2"/>
  </si>
  <si>
    <t>基本項目</t>
    <rPh sb="0" eb="2">
      <t>キホン</t>
    </rPh>
    <rPh sb="2" eb="4">
      <t>コウモク</t>
    </rPh>
    <phoneticPr fontId="2"/>
  </si>
  <si>
    <t>（空気調和・衛生工学会　編　熱負荷のしくみ　より引用）</t>
    <rPh sb="1" eb="3">
      <t>クウキ</t>
    </rPh>
    <rPh sb="3" eb="5">
      <t>チョウワ</t>
    </rPh>
    <rPh sb="6" eb="8">
      <t>エイセイ</t>
    </rPh>
    <rPh sb="8" eb="10">
      <t>コウガク</t>
    </rPh>
    <rPh sb="10" eb="11">
      <t>カイ</t>
    </rPh>
    <rPh sb="12" eb="13">
      <t>ヘン</t>
    </rPh>
    <rPh sb="14" eb="15">
      <t>ネツ</t>
    </rPh>
    <rPh sb="15" eb="17">
      <t>フカ</t>
    </rPh>
    <rPh sb="24" eb="26">
      <t>インヨウ</t>
    </rPh>
    <phoneticPr fontId="2"/>
  </si>
  <si>
    <t>場所</t>
    <rPh sb="0" eb="2">
      <t>バショ</t>
    </rPh>
    <phoneticPr fontId="2"/>
  </si>
  <si>
    <t>東京</t>
    <rPh sb="0" eb="2">
      <t>トウキョウ</t>
    </rPh>
    <phoneticPr fontId="2"/>
  </si>
  <si>
    <t>室内温度</t>
    <rPh sb="0" eb="2">
      <t>シツナイ</t>
    </rPh>
    <rPh sb="2" eb="4">
      <t>オンド</t>
    </rPh>
    <phoneticPr fontId="2"/>
  </si>
  <si>
    <t>℃</t>
    <phoneticPr fontId="2"/>
  </si>
  <si>
    <t>実効温度差（ETD)の定義式</t>
    <rPh sb="0" eb="2">
      <t>ジッコウ</t>
    </rPh>
    <rPh sb="2" eb="4">
      <t>オンド</t>
    </rPh>
    <rPh sb="4" eb="5">
      <t>サ</t>
    </rPh>
    <rPh sb="11" eb="13">
      <t>テイギ</t>
    </rPh>
    <rPh sb="13" eb="14">
      <t>シキ</t>
    </rPh>
    <phoneticPr fontId="2"/>
  </si>
  <si>
    <r>
      <t>ETDj＝{φ</t>
    </r>
    <r>
      <rPr>
        <vertAlign val="subscript"/>
        <sz val="11"/>
        <color theme="1"/>
        <rFont val="ＭＳ Ｐゴシック"/>
        <family val="3"/>
        <charset val="128"/>
        <scheme val="minor"/>
      </rPr>
      <t>0</t>
    </r>
    <r>
      <rPr>
        <sz val="11"/>
        <color theme="1"/>
        <rFont val="ＭＳ Ｐゴシック"/>
        <family val="2"/>
        <scheme val="minor"/>
      </rPr>
      <t>×SAT</t>
    </r>
    <r>
      <rPr>
        <vertAlign val="subscript"/>
        <sz val="11"/>
        <color theme="1"/>
        <rFont val="ＭＳ Ｐゴシック"/>
        <family val="3"/>
        <charset val="128"/>
        <scheme val="minor"/>
      </rPr>
      <t>j</t>
    </r>
    <r>
      <rPr>
        <sz val="11"/>
        <color theme="1"/>
        <rFont val="ＭＳ Ｐゴシック"/>
        <family val="2"/>
        <scheme val="minor"/>
      </rPr>
      <t>＋φ</t>
    </r>
    <r>
      <rPr>
        <vertAlign val="subscript"/>
        <sz val="11"/>
        <color theme="1"/>
        <rFont val="ＭＳ Ｐゴシック"/>
        <family val="3"/>
        <charset val="128"/>
        <scheme val="minor"/>
      </rPr>
      <t>１</t>
    </r>
    <r>
      <rPr>
        <sz val="11"/>
        <color theme="1"/>
        <rFont val="ＭＳ Ｐゴシック"/>
        <family val="2"/>
        <scheme val="minor"/>
      </rPr>
      <t>×SAT</t>
    </r>
    <r>
      <rPr>
        <vertAlign val="subscript"/>
        <sz val="11"/>
        <color theme="1"/>
        <rFont val="ＭＳ Ｐゴシック"/>
        <family val="3"/>
        <charset val="128"/>
        <scheme val="minor"/>
      </rPr>
      <t>ｊ-1</t>
    </r>
    <r>
      <rPr>
        <sz val="11"/>
        <color theme="1"/>
        <rFont val="ＭＳ Ｐゴシック"/>
        <family val="2"/>
        <scheme val="minor"/>
      </rPr>
      <t>＋φ</t>
    </r>
    <r>
      <rPr>
        <vertAlign val="subscript"/>
        <sz val="11"/>
        <color theme="1"/>
        <rFont val="ＭＳ Ｐゴシック"/>
        <family val="3"/>
        <charset val="128"/>
        <scheme val="minor"/>
      </rPr>
      <t>2</t>
    </r>
    <r>
      <rPr>
        <sz val="11"/>
        <color theme="1"/>
        <rFont val="ＭＳ Ｐゴシック"/>
        <family val="2"/>
        <scheme val="minor"/>
      </rPr>
      <t>×</t>
    </r>
    <r>
      <rPr>
        <sz val="11"/>
        <color theme="1"/>
        <rFont val="ＭＳ Ｐゴシック"/>
        <family val="3"/>
        <charset val="128"/>
        <scheme val="minor"/>
      </rPr>
      <t>SAT</t>
    </r>
    <r>
      <rPr>
        <vertAlign val="subscript"/>
        <sz val="11"/>
        <color theme="1"/>
        <rFont val="ＭＳ Ｐゴシック"/>
        <family val="3"/>
        <charset val="128"/>
        <scheme val="minor"/>
      </rPr>
      <t>j-2</t>
    </r>
    <r>
      <rPr>
        <sz val="11"/>
        <color theme="1"/>
        <rFont val="ＭＳ Ｐゴシック"/>
        <family val="2"/>
        <scheme val="minor"/>
      </rPr>
      <t>＋・・・・・・・・＋φ</t>
    </r>
    <r>
      <rPr>
        <vertAlign val="subscript"/>
        <sz val="11"/>
        <color theme="1"/>
        <rFont val="ＭＳ Ｐゴシック"/>
        <family val="3"/>
        <charset val="128"/>
        <scheme val="minor"/>
      </rPr>
      <t>22</t>
    </r>
    <r>
      <rPr>
        <sz val="11"/>
        <color theme="1"/>
        <rFont val="ＭＳ Ｐゴシック"/>
        <family val="2"/>
        <scheme val="minor"/>
      </rPr>
      <t>×</t>
    </r>
    <r>
      <rPr>
        <sz val="11"/>
        <color theme="1"/>
        <rFont val="ＭＳ Ｐゴシック"/>
        <family val="3"/>
        <charset val="128"/>
        <scheme val="minor"/>
      </rPr>
      <t>SAT</t>
    </r>
    <r>
      <rPr>
        <vertAlign val="subscript"/>
        <sz val="11"/>
        <color theme="1"/>
        <rFont val="ＭＳ Ｐゴシック"/>
        <family val="3"/>
        <charset val="128"/>
        <scheme val="minor"/>
      </rPr>
      <t>ｊ-22</t>
    </r>
    <r>
      <rPr>
        <sz val="11"/>
        <color theme="1"/>
        <rFont val="ＭＳ Ｐゴシック"/>
        <family val="3"/>
        <charset val="128"/>
        <scheme val="minor"/>
      </rPr>
      <t>＋φ</t>
    </r>
    <r>
      <rPr>
        <vertAlign val="subscript"/>
        <sz val="11"/>
        <color theme="1"/>
        <rFont val="ＭＳ Ｐゴシック"/>
        <family val="3"/>
        <charset val="128"/>
        <scheme val="minor"/>
      </rPr>
      <t>23</t>
    </r>
    <r>
      <rPr>
        <sz val="11"/>
        <color theme="1"/>
        <rFont val="ＭＳ Ｐゴシック"/>
        <family val="3"/>
        <charset val="128"/>
        <scheme val="minor"/>
      </rPr>
      <t>×SAT</t>
    </r>
    <r>
      <rPr>
        <vertAlign val="subscript"/>
        <sz val="11"/>
        <color theme="1"/>
        <rFont val="ＭＳ Ｐゴシック"/>
        <family val="3"/>
        <charset val="128"/>
        <scheme val="minor"/>
      </rPr>
      <t>ｊ-23</t>
    </r>
    <r>
      <rPr>
        <sz val="11"/>
        <color theme="1"/>
        <rFont val="ＭＳ Ｐゴシック"/>
        <family val="2"/>
        <scheme val="minor"/>
      </rPr>
      <t>}/K－Tr</t>
    </r>
    <phoneticPr fontId="2"/>
  </si>
  <si>
    <t>ETDｊ</t>
    <phoneticPr fontId="2"/>
  </si>
  <si>
    <t>時刻 ｊ における実効温度差ETD（℃）</t>
    <rPh sb="0" eb="2">
      <t>ジコク</t>
    </rPh>
    <phoneticPr fontId="2"/>
  </si>
  <si>
    <t>SATｊ</t>
    <phoneticPr fontId="2"/>
  </si>
  <si>
    <t>時刻 ｊ における相当外気温度SAT（℃）</t>
    <rPh sb="0" eb="2">
      <t>ジコク</t>
    </rPh>
    <rPh sb="9" eb="11">
      <t>ソウトウ</t>
    </rPh>
    <rPh sb="11" eb="13">
      <t>ガイキ</t>
    </rPh>
    <rPh sb="13" eb="15">
      <t>オンド</t>
    </rPh>
    <phoneticPr fontId="2"/>
  </si>
  <si>
    <r>
      <t>２４時間周期定常の外壁の環流応答係数のｎ項目（W/m</t>
    </r>
    <r>
      <rPr>
        <vertAlign val="superscript"/>
        <sz val="11"/>
        <color theme="1"/>
        <rFont val="ＭＳ Ｐゴシック"/>
        <family val="3"/>
        <charset val="128"/>
        <scheme val="minor"/>
      </rPr>
      <t>2</t>
    </r>
    <r>
      <rPr>
        <sz val="11"/>
        <color theme="1"/>
        <rFont val="ＭＳ Ｐゴシック"/>
        <family val="2"/>
        <scheme val="minor"/>
      </rPr>
      <t>・℃）</t>
    </r>
    <rPh sb="2" eb="4">
      <t>ジカン</t>
    </rPh>
    <rPh sb="4" eb="6">
      <t>シュウキ</t>
    </rPh>
    <rPh sb="6" eb="8">
      <t>テイジョウ</t>
    </rPh>
    <rPh sb="9" eb="11">
      <t>ガイヘキ</t>
    </rPh>
    <rPh sb="12" eb="14">
      <t>カンリュウ</t>
    </rPh>
    <rPh sb="14" eb="16">
      <t>オウトウ</t>
    </rPh>
    <rPh sb="16" eb="18">
      <t>ケイスウ</t>
    </rPh>
    <rPh sb="20" eb="21">
      <t>コウ</t>
    </rPh>
    <rPh sb="21" eb="22">
      <t>メ</t>
    </rPh>
    <phoneticPr fontId="2"/>
  </si>
  <si>
    <r>
      <t>外壁・屋根の熱貫流率(W/m</t>
    </r>
    <r>
      <rPr>
        <vertAlign val="superscript"/>
        <sz val="11"/>
        <color theme="1"/>
        <rFont val="ＭＳ Ｐゴシック"/>
        <family val="3"/>
        <charset val="128"/>
        <scheme val="minor"/>
      </rPr>
      <t>2</t>
    </r>
    <r>
      <rPr>
        <sz val="11"/>
        <color theme="1"/>
        <rFont val="ＭＳ Ｐゴシック"/>
        <family val="2"/>
        <scheme val="minor"/>
      </rPr>
      <t>・℃）</t>
    </r>
    <rPh sb="0" eb="2">
      <t>ガイヘキ</t>
    </rPh>
    <rPh sb="3" eb="5">
      <t>ヤネ</t>
    </rPh>
    <rPh sb="6" eb="7">
      <t>ネツ</t>
    </rPh>
    <rPh sb="7" eb="9">
      <t>カンリュウ</t>
    </rPh>
    <rPh sb="9" eb="10">
      <t>リツ</t>
    </rPh>
    <phoneticPr fontId="2"/>
  </si>
  <si>
    <t>Tr</t>
    <phoneticPr fontId="2"/>
  </si>
  <si>
    <t>室内設定温度＝26℃</t>
    <rPh sb="0" eb="2">
      <t>シツナイ</t>
    </rPh>
    <rPh sb="2" eb="4">
      <t>セッテイ</t>
    </rPh>
    <rPh sb="4" eb="6">
      <t>オンド</t>
    </rPh>
    <phoneticPr fontId="2"/>
  </si>
  <si>
    <t>実効温度の補正</t>
    <rPh sb="0" eb="2">
      <t>ジッコウ</t>
    </rPh>
    <rPh sb="2" eb="4">
      <t>オンド</t>
    </rPh>
    <rPh sb="5" eb="7">
      <t>ホセイ</t>
    </rPh>
    <phoneticPr fontId="2"/>
  </si>
  <si>
    <t>①</t>
    <phoneticPr fontId="2"/>
  </si>
  <si>
    <t>基準となる地域が「東京」、室内設定温度が「26℃」であることから、実効温度差（ETD)の補正が必要になる。</t>
    <rPh sb="0" eb="2">
      <t>キジュン</t>
    </rPh>
    <rPh sb="5" eb="7">
      <t>チイキ</t>
    </rPh>
    <rPh sb="9" eb="11">
      <t>トウキョウ</t>
    </rPh>
    <rPh sb="13" eb="15">
      <t>シツナイ</t>
    </rPh>
    <rPh sb="15" eb="17">
      <t>セッテイ</t>
    </rPh>
    <rPh sb="17" eb="19">
      <t>オンド</t>
    </rPh>
    <rPh sb="33" eb="35">
      <t>ジッコウ</t>
    </rPh>
    <rPh sb="35" eb="38">
      <t>オンドサ</t>
    </rPh>
    <rPh sb="44" eb="46">
      <t>ホセイ</t>
    </rPh>
    <rPh sb="47" eb="49">
      <t>ヒツヨウ</t>
    </rPh>
    <phoneticPr fontId="2"/>
  </si>
  <si>
    <t>補正式</t>
    <rPh sb="0" eb="2">
      <t>ホセイ</t>
    </rPh>
    <rPh sb="2" eb="3">
      <t>シキ</t>
    </rPh>
    <phoneticPr fontId="2"/>
  </si>
  <si>
    <t>ETD’＝ETD＋（To’－To）－（Tr’－Tr)</t>
    <phoneticPr fontId="2"/>
  </si>
  <si>
    <t>ETD’</t>
    <phoneticPr fontId="2"/>
  </si>
  <si>
    <t>補正した実効温度差（℃）</t>
    <rPh sb="0" eb="2">
      <t>ホセイ</t>
    </rPh>
    <rPh sb="4" eb="6">
      <t>ジッコウ</t>
    </rPh>
    <rPh sb="6" eb="9">
      <t>オンドサ</t>
    </rPh>
    <phoneticPr fontId="2"/>
  </si>
  <si>
    <t>ETD</t>
    <phoneticPr fontId="2"/>
  </si>
  <si>
    <t>元の実効温度差（℃）</t>
    <rPh sb="0" eb="1">
      <t>モト</t>
    </rPh>
    <rPh sb="2" eb="4">
      <t>ジッコウ</t>
    </rPh>
    <rPh sb="4" eb="7">
      <t>オンドサ</t>
    </rPh>
    <phoneticPr fontId="2"/>
  </si>
  <si>
    <t>To’</t>
    <phoneticPr fontId="2"/>
  </si>
  <si>
    <t>熊谷市の外気温度</t>
    <rPh sb="0" eb="3">
      <t>クマガヤシ</t>
    </rPh>
    <rPh sb="4" eb="6">
      <t>ガイキ</t>
    </rPh>
    <rPh sb="6" eb="8">
      <t>オンド</t>
    </rPh>
    <phoneticPr fontId="2"/>
  </si>
  <si>
    <t>℃（気象庁の当該地域の８月日最高気温）</t>
    <rPh sb="2" eb="5">
      <t>キショウチョウ</t>
    </rPh>
    <rPh sb="6" eb="8">
      <t>トウガイ</t>
    </rPh>
    <rPh sb="8" eb="10">
      <t>チイキ</t>
    </rPh>
    <rPh sb="12" eb="13">
      <t>ガツ</t>
    </rPh>
    <rPh sb="13" eb="14">
      <t>ニチ</t>
    </rPh>
    <rPh sb="14" eb="16">
      <t>サイコウ</t>
    </rPh>
    <rPh sb="16" eb="18">
      <t>キオン</t>
    </rPh>
    <phoneticPr fontId="2"/>
  </si>
  <si>
    <t>To</t>
    <phoneticPr fontId="2"/>
  </si>
  <si>
    <t>東京都の外気温度</t>
    <rPh sb="0" eb="2">
      <t>トウキョウ</t>
    </rPh>
    <rPh sb="2" eb="3">
      <t>ト</t>
    </rPh>
    <rPh sb="4" eb="6">
      <t>ガイキ</t>
    </rPh>
    <rPh sb="6" eb="8">
      <t>オンド</t>
    </rPh>
    <phoneticPr fontId="2"/>
  </si>
  <si>
    <t>℃（気象庁の東京都の８月日最高気温）</t>
    <rPh sb="2" eb="5">
      <t>キショウチョウ</t>
    </rPh>
    <rPh sb="6" eb="9">
      <t>トウキョウト</t>
    </rPh>
    <rPh sb="11" eb="12">
      <t>ガツ</t>
    </rPh>
    <rPh sb="12" eb="13">
      <t>ニチ</t>
    </rPh>
    <rPh sb="13" eb="15">
      <t>サイコウ</t>
    </rPh>
    <rPh sb="15" eb="17">
      <t>キオン</t>
    </rPh>
    <phoneticPr fontId="2"/>
  </si>
  <si>
    <t>Tr’</t>
    <phoneticPr fontId="2"/>
  </si>
  <si>
    <t>任意の室内設定温度</t>
    <rPh sb="0" eb="2">
      <t>ニンイ</t>
    </rPh>
    <rPh sb="3" eb="5">
      <t>シツナイ</t>
    </rPh>
    <rPh sb="5" eb="7">
      <t>セッテイ</t>
    </rPh>
    <rPh sb="7" eb="9">
      <t>オンド</t>
    </rPh>
    <phoneticPr fontId="2"/>
  </si>
  <si>
    <t>基準の室内設定温度</t>
    <rPh sb="0" eb="2">
      <t>キジュン</t>
    </rPh>
    <rPh sb="3" eb="5">
      <t>シツナイ</t>
    </rPh>
    <rPh sb="5" eb="7">
      <t>セッテイ</t>
    </rPh>
    <rPh sb="7" eb="9">
      <t>オンド</t>
    </rPh>
    <phoneticPr fontId="2"/>
  </si>
  <si>
    <t>℃（夏季）</t>
    <rPh sb="2" eb="4">
      <t>カキ</t>
    </rPh>
    <phoneticPr fontId="2"/>
  </si>
  <si>
    <t>℃（中間期）</t>
    <rPh sb="2" eb="5">
      <t>チュウカンキ</t>
    </rPh>
    <phoneticPr fontId="2"/>
  </si>
  <si>
    <t>熊谷市におけるETD’の補正値は、</t>
    <rPh sb="0" eb="3">
      <t>クマガヤシ</t>
    </rPh>
    <rPh sb="12" eb="14">
      <t>ホセイ</t>
    </rPh>
    <rPh sb="14" eb="15">
      <t>アタイ</t>
    </rPh>
    <phoneticPr fontId="2"/>
  </si>
  <si>
    <t>ETD’＝</t>
    <phoneticPr fontId="2"/>
  </si>
  <si>
    <t>ETD＋</t>
    <phoneticPr fontId="2"/>
  </si>
  <si>
    <t>＝ETD ＋</t>
    <phoneticPr fontId="2"/>
  </si>
  <si>
    <t>②</t>
    <phoneticPr fontId="2"/>
  </si>
  <si>
    <t>壁表面の日射吸収率が異なる場合は、次の補正が必要になる。</t>
    <rPh sb="0" eb="1">
      <t>カベ</t>
    </rPh>
    <rPh sb="1" eb="3">
      <t>ヒョウメン</t>
    </rPh>
    <rPh sb="4" eb="6">
      <t>ニッシャ</t>
    </rPh>
    <rPh sb="6" eb="8">
      <t>キュウシュウ</t>
    </rPh>
    <rPh sb="8" eb="9">
      <t>リツ</t>
    </rPh>
    <rPh sb="10" eb="11">
      <t>コト</t>
    </rPh>
    <rPh sb="13" eb="15">
      <t>バアイ</t>
    </rPh>
    <rPh sb="17" eb="18">
      <t>ツギ</t>
    </rPh>
    <rPh sb="19" eb="21">
      <t>ホセイ</t>
    </rPh>
    <rPh sb="22" eb="24">
      <t>ヒツヨウ</t>
    </rPh>
    <phoneticPr fontId="2"/>
  </si>
  <si>
    <t>①の補正を行う前に、日射吸収率の補正を行う</t>
    <rPh sb="2" eb="4">
      <t>ホセイ</t>
    </rPh>
    <rPh sb="5" eb="6">
      <t>オコナ</t>
    </rPh>
    <rPh sb="7" eb="8">
      <t>マエ</t>
    </rPh>
    <rPh sb="10" eb="12">
      <t>ニッシャ</t>
    </rPh>
    <rPh sb="12" eb="14">
      <t>キュウシュウ</t>
    </rPh>
    <rPh sb="14" eb="15">
      <t>リツ</t>
    </rPh>
    <rPh sb="16" eb="18">
      <t>ホセイ</t>
    </rPh>
    <rPh sb="19" eb="20">
      <t>オコナ</t>
    </rPh>
    <phoneticPr fontId="2"/>
  </si>
  <si>
    <r>
      <t>ETD’’＝（ａ／0.7）×（ＥＴＤ</t>
    </r>
    <r>
      <rPr>
        <vertAlign val="subscript"/>
        <sz val="11"/>
        <color theme="1"/>
        <rFont val="ＭＳ Ｐゴシック"/>
        <family val="3"/>
        <charset val="128"/>
        <scheme val="minor"/>
      </rPr>
      <t>0.7</t>
    </r>
    <r>
      <rPr>
        <sz val="11"/>
        <color theme="1"/>
        <rFont val="ＭＳ Ｐゴシック"/>
        <family val="2"/>
        <scheme val="minor"/>
      </rPr>
      <t>－ＥＴＤ</t>
    </r>
    <r>
      <rPr>
        <vertAlign val="subscript"/>
        <sz val="11"/>
        <color theme="1"/>
        <rFont val="ＭＳ Ｐゴシック"/>
        <family val="3"/>
        <charset val="128"/>
        <scheme val="minor"/>
      </rPr>
      <t>0.7・影</t>
    </r>
    <r>
      <rPr>
        <sz val="11"/>
        <color theme="1"/>
        <rFont val="ＭＳ Ｐゴシック"/>
        <family val="2"/>
        <scheme val="minor"/>
      </rPr>
      <t>）＋ＥＴＤ</t>
    </r>
    <r>
      <rPr>
        <vertAlign val="subscript"/>
        <sz val="11"/>
        <color theme="1"/>
        <rFont val="ＭＳ Ｐゴシック"/>
        <family val="3"/>
        <charset val="128"/>
        <scheme val="minor"/>
      </rPr>
      <t>0.7・影</t>
    </r>
    <rPh sb="29" eb="30">
      <t>カゲ</t>
    </rPh>
    <rPh sb="39" eb="40">
      <t>カゲ</t>
    </rPh>
    <phoneticPr fontId="2"/>
  </si>
  <si>
    <t>ＥＴＤは、日射吸収率を「０．７」を基準として、算出している。</t>
    <rPh sb="5" eb="7">
      <t>ニッシャ</t>
    </rPh>
    <rPh sb="7" eb="9">
      <t>キュウシュウ</t>
    </rPh>
    <rPh sb="9" eb="10">
      <t>リツ</t>
    </rPh>
    <rPh sb="17" eb="19">
      <t>キジュン</t>
    </rPh>
    <rPh sb="23" eb="25">
      <t>サンシュツ</t>
    </rPh>
    <phoneticPr fontId="2"/>
  </si>
  <si>
    <t>その為に、遮熱等の対策により、外壁や屋根の表面を仕上げる塗料等の材料によっては</t>
    <rPh sb="2" eb="3">
      <t>タメ</t>
    </rPh>
    <rPh sb="5" eb="7">
      <t>シャネツ</t>
    </rPh>
    <rPh sb="7" eb="8">
      <t>ナド</t>
    </rPh>
    <rPh sb="9" eb="11">
      <t>タイサク</t>
    </rPh>
    <rPh sb="15" eb="17">
      <t>ガイヘキ</t>
    </rPh>
    <rPh sb="18" eb="20">
      <t>ヤネ</t>
    </rPh>
    <rPh sb="21" eb="23">
      <t>ヒョウメン</t>
    </rPh>
    <rPh sb="24" eb="26">
      <t>シア</t>
    </rPh>
    <rPh sb="28" eb="30">
      <t>トリョウ</t>
    </rPh>
    <rPh sb="30" eb="31">
      <t>ナド</t>
    </rPh>
    <rPh sb="32" eb="34">
      <t>ザイリョウ</t>
    </rPh>
    <phoneticPr fontId="2"/>
  </si>
  <si>
    <t>日射吸収率がその材料にあった数値に補正する必要がある。</t>
    <rPh sb="0" eb="2">
      <t>ニッシャ</t>
    </rPh>
    <rPh sb="2" eb="4">
      <t>キュウシュウ</t>
    </rPh>
    <rPh sb="4" eb="5">
      <t>リツ</t>
    </rPh>
    <rPh sb="8" eb="10">
      <t>ザイリョウ</t>
    </rPh>
    <rPh sb="14" eb="16">
      <t>スウチ</t>
    </rPh>
    <rPh sb="17" eb="19">
      <t>ホセイ</t>
    </rPh>
    <rPh sb="21" eb="23">
      <t>ヒツヨウ</t>
    </rPh>
    <phoneticPr fontId="2"/>
  </si>
  <si>
    <t>日射吸収率の変更に伴う補正後のＥＴＤ（℃）</t>
    <rPh sb="0" eb="2">
      <t>ニッシャ</t>
    </rPh>
    <rPh sb="2" eb="4">
      <t>キュウシュウ</t>
    </rPh>
    <rPh sb="4" eb="5">
      <t>リツ</t>
    </rPh>
    <rPh sb="6" eb="8">
      <t>ヘンコウ</t>
    </rPh>
    <rPh sb="9" eb="10">
      <t>トモナ</t>
    </rPh>
    <rPh sb="11" eb="13">
      <t>ホセイ</t>
    </rPh>
    <rPh sb="13" eb="14">
      <t>ゴ</t>
    </rPh>
    <phoneticPr fontId="2"/>
  </si>
  <si>
    <t>対策によって採用された材料の日射吸収率（－）</t>
    <rPh sb="0" eb="2">
      <t>タイサク</t>
    </rPh>
    <rPh sb="6" eb="8">
      <t>サイヨウ</t>
    </rPh>
    <rPh sb="11" eb="13">
      <t>ザイリョウ</t>
    </rPh>
    <rPh sb="14" eb="16">
      <t>ニッシャ</t>
    </rPh>
    <rPh sb="16" eb="18">
      <t>キュウシュウ</t>
    </rPh>
    <rPh sb="18" eb="19">
      <t>リツ</t>
    </rPh>
    <phoneticPr fontId="2"/>
  </si>
  <si>
    <t>基準となる日射吸収率（－）</t>
    <rPh sb="0" eb="2">
      <t>キジュン</t>
    </rPh>
    <rPh sb="5" eb="7">
      <t>ニッシャ</t>
    </rPh>
    <rPh sb="7" eb="9">
      <t>キュウシュウ</t>
    </rPh>
    <rPh sb="9" eb="10">
      <t>リツ</t>
    </rPh>
    <phoneticPr fontId="2"/>
  </si>
  <si>
    <t>日射吸収率が0.7の実効温度差（℃）</t>
    <rPh sb="0" eb="2">
      <t>ニッシャ</t>
    </rPh>
    <rPh sb="2" eb="4">
      <t>キュウシュウ</t>
    </rPh>
    <rPh sb="4" eb="5">
      <t>リツ</t>
    </rPh>
    <rPh sb="10" eb="12">
      <t>ジッコウ</t>
    </rPh>
    <rPh sb="12" eb="15">
      <t>オンドサ</t>
    </rPh>
    <phoneticPr fontId="2"/>
  </si>
  <si>
    <t>日射吸収率が0.7で、日影の実効温度差（℃）</t>
    <rPh sb="0" eb="2">
      <t>ニッシャ</t>
    </rPh>
    <rPh sb="2" eb="4">
      <t>キュウシュウ</t>
    </rPh>
    <rPh sb="4" eb="5">
      <t>リツ</t>
    </rPh>
    <rPh sb="11" eb="13">
      <t>ヒカゲ</t>
    </rPh>
    <rPh sb="14" eb="16">
      <t>ジッコウ</t>
    </rPh>
    <rPh sb="16" eb="19">
      <t>オンドサ</t>
    </rPh>
    <phoneticPr fontId="2"/>
  </si>
  <si>
    <t>③</t>
    <phoneticPr fontId="2"/>
  </si>
  <si>
    <t>表－２は、上記①の補正を行ったもの</t>
    <rPh sb="0" eb="1">
      <t>ヒョウ</t>
    </rPh>
    <rPh sb="5" eb="7">
      <t>ジョウキ</t>
    </rPh>
    <rPh sb="9" eb="11">
      <t>ホセイ</t>
    </rPh>
    <rPh sb="12" eb="13">
      <t>オコナ</t>
    </rPh>
    <phoneticPr fontId="2"/>
  </si>
  <si>
    <t>（重要）</t>
    <rPh sb="1" eb="3">
      <t>ジュウヨウ</t>
    </rPh>
    <phoneticPr fontId="2"/>
  </si>
  <si>
    <t>壁タイプ</t>
    <rPh sb="0" eb="1">
      <t>カベ</t>
    </rPh>
    <phoneticPr fontId="2"/>
  </si>
  <si>
    <t>時刻</t>
    <rPh sb="0" eb="2">
      <t>ジコク</t>
    </rPh>
    <phoneticPr fontId="2"/>
  </si>
  <si>
    <t>日影</t>
    <rPh sb="0" eb="2">
      <t>ヒカゲ</t>
    </rPh>
    <phoneticPr fontId="2"/>
  </si>
  <si>
    <t>水平</t>
    <rPh sb="0" eb="2">
      <t>スイヘイ</t>
    </rPh>
    <phoneticPr fontId="2"/>
  </si>
  <si>
    <t>N(北）</t>
    <rPh sb="2" eb="3">
      <t>キタ</t>
    </rPh>
    <phoneticPr fontId="2"/>
  </si>
  <si>
    <t>NE(北東）</t>
    <rPh sb="3" eb="5">
      <t>ホクトウ</t>
    </rPh>
    <phoneticPr fontId="2"/>
  </si>
  <si>
    <t>E（東）</t>
    <rPh sb="2" eb="3">
      <t>ヒガシ</t>
    </rPh>
    <phoneticPr fontId="2"/>
  </si>
  <si>
    <t>SE(南東）</t>
    <rPh sb="3" eb="5">
      <t>ナントウ</t>
    </rPh>
    <phoneticPr fontId="2"/>
  </si>
  <si>
    <t>S(南）</t>
    <rPh sb="2" eb="3">
      <t>ミナミ</t>
    </rPh>
    <phoneticPr fontId="2"/>
  </si>
  <si>
    <t>SW(南西）</t>
    <rPh sb="3" eb="5">
      <t>ナンセイ</t>
    </rPh>
    <phoneticPr fontId="2"/>
  </si>
  <si>
    <t>W(西）</t>
    <rPh sb="2" eb="3">
      <t>ニシ</t>
    </rPh>
    <phoneticPr fontId="2"/>
  </si>
  <si>
    <t>NW(北西）</t>
    <rPh sb="3" eb="5">
      <t>ホクセイ</t>
    </rPh>
    <phoneticPr fontId="2"/>
  </si>
  <si>
    <t>外壁、屋根の対策後の材料において、表面の仕上げ材の日射吸収率に変更が無い場合は、表－２を使用する。</t>
    <rPh sb="0" eb="2">
      <t>ガイヘキ</t>
    </rPh>
    <rPh sb="3" eb="5">
      <t>ヤネ</t>
    </rPh>
    <rPh sb="6" eb="8">
      <t>タイサク</t>
    </rPh>
    <rPh sb="8" eb="9">
      <t>ゴ</t>
    </rPh>
    <rPh sb="10" eb="12">
      <t>ザイリョウ</t>
    </rPh>
    <rPh sb="17" eb="19">
      <t>ヒョウメン</t>
    </rPh>
    <rPh sb="20" eb="22">
      <t>シア</t>
    </rPh>
    <rPh sb="23" eb="24">
      <t>ザイ</t>
    </rPh>
    <rPh sb="25" eb="27">
      <t>ニッシャ</t>
    </rPh>
    <rPh sb="27" eb="29">
      <t>キュウシュウ</t>
    </rPh>
    <rPh sb="29" eb="30">
      <t>リツ</t>
    </rPh>
    <rPh sb="31" eb="33">
      <t>ヘンコウ</t>
    </rPh>
    <rPh sb="34" eb="35">
      <t>ナ</t>
    </rPh>
    <rPh sb="36" eb="38">
      <t>バアイ</t>
    </rPh>
    <rPh sb="40" eb="41">
      <t>ヒョウ</t>
    </rPh>
    <rPh sb="44" eb="46">
      <t>シヨウ</t>
    </rPh>
    <phoneticPr fontId="2"/>
  </si>
  <si>
    <t>表－３　表－１に対して、日射吸収率を変更した実効温度差（ETD)</t>
    <rPh sb="0" eb="1">
      <t>ヒョウ</t>
    </rPh>
    <rPh sb="4" eb="5">
      <t>ヒョウ</t>
    </rPh>
    <rPh sb="8" eb="9">
      <t>タイ</t>
    </rPh>
    <rPh sb="12" eb="14">
      <t>ニッシャ</t>
    </rPh>
    <rPh sb="14" eb="16">
      <t>キュウシュウ</t>
    </rPh>
    <rPh sb="16" eb="17">
      <t>リツ</t>
    </rPh>
    <rPh sb="18" eb="20">
      <t>ヘンコウ</t>
    </rPh>
    <rPh sb="22" eb="24">
      <t>ジッコウ</t>
    </rPh>
    <rPh sb="24" eb="27">
      <t>オンドサ</t>
    </rPh>
    <phoneticPr fontId="2"/>
  </si>
  <si>
    <r>
      <t>ETD’’＝（ａ／0.7）×（ＥＴＤ</t>
    </r>
    <r>
      <rPr>
        <vertAlign val="subscript"/>
        <sz val="10"/>
        <color theme="1"/>
        <rFont val="ＭＳ Ｐゴシック"/>
        <family val="3"/>
        <charset val="128"/>
        <scheme val="minor"/>
      </rPr>
      <t>0.7</t>
    </r>
    <r>
      <rPr>
        <sz val="10"/>
        <color theme="1"/>
        <rFont val="ＭＳ Ｐゴシック"/>
        <family val="3"/>
        <charset val="128"/>
        <scheme val="minor"/>
      </rPr>
      <t>－ＥＴＤ</t>
    </r>
    <r>
      <rPr>
        <vertAlign val="subscript"/>
        <sz val="10"/>
        <color theme="1"/>
        <rFont val="ＭＳ Ｐゴシック"/>
        <family val="3"/>
        <charset val="128"/>
        <scheme val="minor"/>
      </rPr>
      <t>0.7・影</t>
    </r>
    <r>
      <rPr>
        <sz val="10"/>
        <color theme="1"/>
        <rFont val="ＭＳ Ｐゴシック"/>
        <family val="3"/>
        <charset val="128"/>
        <scheme val="minor"/>
      </rPr>
      <t>）＋ＥＴＤ</t>
    </r>
    <r>
      <rPr>
        <vertAlign val="subscript"/>
        <sz val="10"/>
        <color theme="1"/>
        <rFont val="ＭＳ Ｐゴシック"/>
        <family val="3"/>
        <charset val="128"/>
        <scheme val="minor"/>
      </rPr>
      <t>0.7・影</t>
    </r>
    <rPh sb="29" eb="30">
      <t>カゲ</t>
    </rPh>
    <rPh sb="39" eb="40">
      <t>カゲ</t>
    </rPh>
    <phoneticPr fontId="2"/>
  </si>
  <si>
    <t>標準日射熱取得(W/m2)</t>
    <rPh sb="0" eb="2">
      <t>ヒョウジュン</t>
    </rPh>
    <rPh sb="2" eb="4">
      <t>ニッシャ</t>
    </rPh>
    <rPh sb="4" eb="5">
      <t>ネツ</t>
    </rPh>
    <rPh sb="5" eb="7">
      <t>シュトク</t>
    </rPh>
    <phoneticPr fontId="2"/>
  </si>
  <si>
    <t>NE（北東）</t>
    <rPh sb="3" eb="5">
      <t>ホクトウ</t>
    </rPh>
    <phoneticPr fontId="2"/>
  </si>
  <si>
    <t>SW(南西）</t>
    <rPh sb="3" eb="4">
      <t>ミナミ</t>
    </rPh>
    <rPh sb="4" eb="5">
      <t>ニシ</t>
    </rPh>
    <phoneticPr fontId="2"/>
  </si>
  <si>
    <t>空気調和ハンドブックＰ４９ 表－１より引用</t>
    <rPh sb="0" eb="2">
      <t>クウキ</t>
    </rPh>
    <rPh sb="2" eb="4">
      <t>チョウワ</t>
    </rPh>
    <rPh sb="14" eb="15">
      <t>ヒョウ</t>
    </rPh>
    <rPh sb="19" eb="21">
      <t>インヨウ</t>
    </rPh>
    <phoneticPr fontId="2"/>
  </si>
  <si>
    <t>遮熱塗装の日射吸収率</t>
    <rPh sb="0" eb="2">
      <t>シャネツ</t>
    </rPh>
    <rPh sb="2" eb="4">
      <t>トソウ</t>
    </rPh>
    <rPh sb="5" eb="7">
      <t>ニッシャ</t>
    </rPh>
    <rPh sb="7" eb="9">
      <t>キュウシュウ</t>
    </rPh>
    <rPh sb="9" eb="10">
      <t>リツ</t>
    </rPh>
    <phoneticPr fontId="2"/>
  </si>
  <si>
    <t>冷房負荷（W)</t>
    <rPh sb="0" eb="2">
      <t>レイボウ</t>
    </rPh>
    <rPh sb="2" eb="4">
      <t>フカ</t>
    </rPh>
    <phoneticPr fontId="2"/>
  </si>
  <si>
    <t>暖房負荷（W)</t>
    <rPh sb="0" eb="2">
      <t>ダンボウ</t>
    </rPh>
    <rPh sb="2" eb="4">
      <t>フカ</t>
    </rPh>
    <phoneticPr fontId="2"/>
  </si>
  <si>
    <t>消費電力計算の採用値</t>
    <rPh sb="0" eb="2">
      <t>ショウヒ</t>
    </rPh>
    <rPh sb="2" eb="4">
      <t>デンリョク</t>
    </rPh>
    <rPh sb="4" eb="6">
      <t>ケイサン</t>
    </rPh>
    <rPh sb="7" eb="9">
      <t>サイヨウ</t>
    </rPh>
    <rPh sb="9" eb="10">
      <t>アタイ</t>
    </rPh>
    <phoneticPr fontId="2"/>
  </si>
  <si>
    <t>合計値</t>
    <rPh sb="0" eb="3">
      <t>ゴウケイチ</t>
    </rPh>
    <phoneticPr fontId="2"/>
  </si>
  <si>
    <t>暑さ対策の温度条件</t>
    <rPh sb="0" eb="1">
      <t>アツ</t>
    </rPh>
    <rPh sb="2" eb="4">
      <t>タイサク</t>
    </rPh>
    <rPh sb="5" eb="7">
      <t>オンド</t>
    </rPh>
    <rPh sb="7" eb="9">
      <t>ジョウケン</t>
    </rPh>
    <phoneticPr fontId="2"/>
  </si>
  <si>
    <t>設計の諸言としては、下記の温度条件による。</t>
    <rPh sb="0" eb="2">
      <t>セッケイ</t>
    </rPh>
    <rPh sb="3" eb="5">
      <t>ショゲン</t>
    </rPh>
    <rPh sb="10" eb="12">
      <t>カキ</t>
    </rPh>
    <rPh sb="13" eb="15">
      <t>オンド</t>
    </rPh>
    <rPh sb="15" eb="17">
      <t>ジョウケン</t>
    </rPh>
    <phoneticPr fontId="2"/>
  </si>
  <si>
    <t>暑さ対策の導入前、導入後の比較を行うために、一律同じ条件による。</t>
    <rPh sb="0" eb="1">
      <t>アツ</t>
    </rPh>
    <rPh sb="2" eb="4">
      <t>タイサク</t>
    </rPh>
    <rPh sb="5" eb="7">
      <t>ドウニュウ</t>
    </rPh>
    <rPh sb="7" eb="8">
      <t>マエ</t>
    </rPh>
    <rPh sb="9" eb="11">
      <t>ドウニュウ</t>
    </rPh>
    <rPh sb="11" eb="12">
      <t>ゴ</t>
    </rPh>
    <rPh sb="13" eb="15">
      <t>ヒカク</t>
    </rPh>
    <rPh sb="16" eb="17">
      <t>オコナ</t>
    </rPh>
    <rPh sb="22" eb="24">
      <t>イチリツ</t>
    </rPh>
    <rPh sb="24" eb="25">
      <t>オナ</t>
    </rPh>
    <rPh sb="26" eb="28">
      <t>ジョウケン</t>
    </rPh>
    <phoneticPr fontId="2"/>
  </si>
  <si>
    <t>単位</t>
    <rPh sb="0" eb="2">
      <t>タンイ</t>
    </rPh>
    <phoneticPr fontId="2"/>
  </si>
  <si>
    <t>項目</t>
    <rPh sb="0" eb="2">
      <t>コウモク</t>
    </rPh>
    <phoneticPr fontId="2"/>
  </si>
  <si>
    <t>℃</t>
    <phoneticPr fontId="2"/>
  </si>
  <si>
    <t>※気象庁ホームページより引用</t>
    <rPh sb="1" eb="4">
      <t>キショウチョウ</t>
    </rPh>
    <rPh sb="12" eb="14">
      <t>インヨウ</t>
    </rPh>
    <phoneticPr fontId="2"/>
  </si>
  <si>
    <t>最高気温※</t>
    <rPh sb="0" eb="2">
      <t>サイコウ</t>
    </rPh>
    <rPh sb="2" eb="4">
      <t>キオン</t>
    </rPh>
    <phoneticPr fontId="2"/>
  </si>
  <si>
    <t>最低気温※</t>
    <rPh sb="0" eb="2">
      <t>サイテイ</t>
    </rPh>
    <rPh sb="2" eb="4">
      <t>キオン</t>
    </rPh>
    <phoneticPr fontId="2"/>
  </si>
  <si>
    <t>当該施設の操業・営業時間</t>
    <rPh sb="0" eb="2">
      <t>トウガイ</t>
    </rPh>
    <rPh sb="2" eb="4">
      <t>シセツ</t>
    </rPh>
    <rPh sb="5" eb="7">
      <t>ソウギョウ</t>
    </rPh>
    <rPh sb="8" eb="10">
      <t>エイギョウ</t>
    </rPh>
    <rPh sb="10" eb="12">
      <t>ジカン</t>
    </rPh>
    <phoneticPr fontId="2"/>
  </si>
  <si>
    <t>日/月</t>
    <rPh sb="0" eb="1">
      <t>ヒ</t>
    </rPh>
    <rPh sb="2" eb="3">
      <t>ツキ</t>
    </rPh>
    <phoneticPr fontId="2"/>
  </si>
  <si>
    <t>h/日</t>
    <rPh sb="2" eb="3">
      <t>ヒ</t>
    </rPh>
    <phoneticPr fontId="2"/>
  </si>
  <si>
    <t>h/月</t>
    <rPh sb="2" eb="3">
      <t>ツキ</t>
    </rPh>
    <phoneticPr fontId="2"/>
  </si>
  <si>
    <t>月当たりの平均操業・営業時間</t>
    <rPh sb="0" eb="1">
      <t>ツキ</t>
    </rPh>
    <rPh sb="1" eb="2">
      <t>ア</t>
    </rPh>
    <rPh sb="5" eb="7">
      <t>ヘイキン</t>
    </rPh>
    <rPh sb="7" eb="9">
      <t>ソウギョウ</t>
    </rPh>
    <rPh sb="10" eb="12">
      <t>エイギョウ</t>
    </rPh>
    <rPh sb="12" eb="14">
      <t>ジカン</t>
    </rPh>
    <phoneticPr fontId="2"/>
  </si>
  <si>
    <t>既存空調設備の冷熱源のCOP（成績係数）</t>
    <rPh sb="0" eb="2">
      <t>キゾン</t>
    </rPh>
    <rPh sb="2" eb="4">
      <t>クウチョウ</t>
    </rPh>
    <rPh sb="4" eb="6">
      <t>セツビ</t>
    </rPh>
    <rPh sb="7" eb="8">
      <t>レイ</t>
    </rPh>
    <rPh sb="8" eb="10">
      <t>ネツゲン</t>
    </rPh>
    <rPh sb="15" eb="17">
      <t>セイセキ</t>
    </rPh>
    <rPh sb="17" eb="19">
      <t>ケイスウ</t>
    </rPh>
    <phoneticPr fontId="2"/>
  </si>
  <si>
    <t>冷房用COP</t>
    <rPh sb="0" eb="2">
      <t>レイボウ</t>
    </rPh>
    <rPh sb="2" eb="3">
      <t>ヨウ</t>
    </rPh>
    <phoneticPr fontId="2"/>
  </si>
  <si>
    <t>黄色の着色部に必要事項を入力する。</t>
    <rPh sb="0" eb="2">
      <t>キイロ</t>
    </rPh>
    <rPh sb="3" eb="5">
      <t>チャクショク</t>
    </rPh>
    <rPh sb="5" eb="6">
      <t>ブ</t>
    </rPh>
    <rPh sb="7" eb="9">
      <t>ヒツヨウ</t>
    </rPh>
    <rPh sb="9" eb="11">
      <t>ジコウ</t>
    </rPh>
    <rPh sb="12" eb="14">
      <t>ニュウリョク</t>
    </rPh>
    <phoneticPr fontId="2"/>
  </si>
  <si>
    <t>不明あるいは把握できない場合は、数値の変更は行わない。</t>
    <rPh sb="0" eb="2">
      <t>フメイ</t>
    </rPh>
    <rPh sb="6" eb="8">
      <t>ハアク</t>
    </rPh>
    <rPh sb="12" eb="14">
      <t>バアイ</t>
    </rPh>
    <rPh sb="16" eb="18">
      <t>スウチ</t>
    </rPh>
    <rPh sb="19" eb="21">
      <t>ヘンコウ</t>
    </rPh>
    <rPh sb="22" eb="23">
      <t>オコナ</t>
    </rPh>
    <phoneticPr fontId="2"/>
  </si>
  <si>
    <t>表－１　暑さ対策導入前の冷暖房熱負荷計算</t>
    <rPh sb="0" eb="1">
      <t>ヒョウ</t>
    </rPh>
    <rPh sb="4" eb="5">
      <t>アツ</t>
    </rPh>
    <rPh sb="6" eb="8">
      <t>タイサク</t>
    </rPh>
    <rPh sb="8" eb="10">
      <t>ドウニュウ</t>
    </rPh>
    <rPh sb="10" eb="11">
      <t>マエ</t>
    </rPh>
    <rPh sb="12" eb="15">
      <t>レイダンボウ</t>
    </rPh>
    <rPh sb="15" eb="16">
      <t>ネツ</t>
    </rPh>
    <rPh sb="16" eb="18">
      <t>フカ</t>
    </rPh>
    <rPh sb="18" eb="20">
      <t>ケイサン</t>
    </rPh>
    <phoneticPr fontId="2"/>
  </si>
  <si>
    <t>表－２　暑さ対策導入後の冷暖房熱負荷計算</t>
    <rPh sb="0" eb="1">
      <t>ヒョウ</t>
    </rPh>
    <rPh sb="4" eb="5">
      <t>アツ</t>
    </rPh>
    <rPh sb="6" eb="8">
      <t>タイサク</t>
    </rPh>
    <rPh sb="8" eb="10">
      <t>ドウニュウ</t>
    </rPh>
    <rPh sb="10" eb="11">
      <t>ゴ</t>
    </rPh>
    <rPh sb="12" eb="15">
      <t>レイダンボウ</t>
    </rPh>
    <rPh sb="15" eb="16">
      <t>ネツ</t>
    </rPh>
    <rPh sb="16" eb="18">
      <t>フカ</t>
    </rPh>
    <rPh sb="18" eb="20">
      <t>ケイサン</t>
    </rPh>
    <phoneticPr fontId="2"/>
  </si>
  <si>
    <t>表－３　暑さ対策導入前後の冷暖房熱負荷削減量</t>
    <rPh sb="0" eb="1">
      <t>ヒョウ</t>
    </rPh>
    <rPh sb="4" eb="5">
      <t>アツ</t>
    </rPh>
    <rPh sb="6" eb="8">
      <t>タイサク</t>
    </rPh>
    <rPh sb="8" eb="10">
      <t>ドウニュウ</t>
    </rPh>
    <rPh sb="10" eb="12">
      <t>ゼンゴ</t>
    </rPh>
    <rPh sb="13" eb="16">
      <t>レイダンボウ</t>
    </rPh>
    <rPh sb="16" eb="17">
      <t>ネツ</t>
    </rPh>
    <rPh sb="17" eb="19">
      <t>フカ</t>
    </rPh>
    <rPh sb="19" eb="21">
      <t>サクゲン</t>
    </rPh>
    <rPh sb="21" eb="22">
      <t>リョウ</t>
    </rPh>
    <phoneticPr fontId="2"/>
  </si>
  <si>
    <t>表－４　暑さ対策により削減が見込める年間消費電力削減量とCO2排出量の削減量</t>
    <rPh sb="0" eb="1">
      <t>ヒョウ</t>
    </rPh>
    <rPh sb="4" eb="5">
      <t>アツ</t>
    </rPh>
    <rPh sb="6" eb="8">
      <t>タイサク</t>
    </rPh>
    <rPh sb="11" eb="13">
      <t>サクゲン</t>
    </rPh>
    <rPh sb="14" eb="16">
      <t>ミコ</t>
    </rPh>
    <rPh sb="18" eb="20">
      <t>ネンカン</t>
    </rPh>
    <rPh sb="20" eb="22">
      <t>ショウヒ</t>
    </rPh>
    <rPh sb="22" eb="24">
      <t>デンリョク</t>
    </rPh>
    <rPh sb="24" eb="26">
      <t>サクゲン</t>
    </rPh>
    <rPh sb="26" eb="27">
      <t>リョウ</t>
    </rPh>
    <rPh sb="31" eb="33">
      <t>ハイシュツ</t>
    </rPh>
    <rPh sb="33" eb="34">
      <t>リョウ</t>
    </rPh>
    <rPh sb="35" eb="37">
      <t>サクゲン</t>
    </rPh>
    <rPh sb="37" eb="38">
      <t>リョウ</t>
    </rPh>
    <phoneticPr fontId="2"/>
  </si>
  <si>
    <t>方位係数</t>
    <rPh sb="0" eb="2">
      <t>ホウイ</t>
    </rPh>
    <rPh sb="2" eb="4">
      <t>ケイスウ</t>
    </rPh>
    <phoneticPr fontId="2"/>
  </si>
  <si>
    <t>対策部位</t>
    <rPh sb="0" eb="2">
      <t>タイサク</t>
    </rPh>
    <rPh sb="2" eb="4">
      <t>ブイ</t>
    </rPh>
    <phoneticPr fontId="2"/>
  </si>
  <si>
    <t>施工面積(m2)</t>
    <rPh sb="0" eb="2">
      <t>セコウ</t>
    </rPh>
    <rPh sb="2" eb="4">
      <t>メンセキ</t>
    </rPh>
    <phoneticPr fontId="2"/>
  </si>
  <si>
    <t>W/m2℃</t>
    <phoneticPr fontId="2"/>
  </si>
  <si>
    <t>タイプⅢ</t>
    <phoneticPr fontId="2"/>
  </si>
  <si>
    <t>タイプⅢ</t>
    <phoneticPr fontId="2"/>
  </si>
  <si>
    <t>外壁の構造、仕上げによって、ＥＴＤは変わりますが、ここでは、下記のタイプⅢパターンについて記す。</t>
    <rPh sb="0" eb="2">
      <t>ガイヘキ</t>
    </rPh>
    <rPh sb="3" eb="5">
      <t>コウゾウ</t>
    </rPh>
    <rPh sb="6" eb="8">
      <t>シア</t>
    </rPh>
    <rPh sb="18" eb="19">
      <t>カ</t>
    </rPh>
    <rPh sb="30" eb="32">
      <t>カキ</t>
    </rPh>
    <rPh sb="45" eb="46">
      <t>シル</t>
    </rPh>
    <phoneticPr fontId="2"/>
  </si>
  <si>
    <t>対策前の外壁の諸性能は、下記による</t>
    <rPh sb="0" eb="2">
      <t>タイサク</t>
    </rPh>
    <rPh sb="2" eb="3">
      <t>マエ</t>
    </rPh>
    <rPh sb="4" eb="6">
      <t>ガイヘキ</t>
    </rPh>
    <rPh sb="7" eb="8">
      <t>ショ</t>
    </rPh>
    <rPh sb="8" eb="10">
      <t>セイノウ</t>
    </rPh>
    <rPh sb="12" eb="14">
      <t>カキ</t>
    </rPh>
    <phoneticPr fontId="2"/>
  </si>
  <si>
    <t>屋根の熱貫流率</t>
    <rPh sb="0" eb="2">
      <t>ヤネ</t>
    </rPh>
    <rPh sb="3" eb="4">
      <t>ネツ</t>
    </rPh>
    <rPh sb="4" eb="6">
      <t>カンリュウ</t>
    </rPh>
    <rPh sb="6" eb="7">
      <t>リツ</t>
    </rPh>
    <phoneticPr fontId="2"/>
  </si>
  <si>
    <t>外壁の熱貫流率</t>
    <rPh sb="0" eb="2">
      <t>ガイヘキ</t>
    </rPh>
    <rPh sb="3" eb="4">
      <t>ネツ</t>
    </rPh>
    <rPh sb="4" eb="6">
      <t>カンリュウ</t>
    </rPh>
    <rPh sb="6" eb="7">
      <t>リツ</t>
    </rPh>
    <phoneticPr fontId="2"/>
  </si>
  <si>
    <t>屋根対策</t>
    <rPh sb="0" eb="2">
      <t>ヤネ</t>
    </rPh>
    <rPh sb="2" eb="4">
      <t>タイサク</t>
    </rPh>
    <phoneticPr fontId="2"/>
  </si>
  <si>
    <t>外壁対策</t>
    <rPh sb="0" eb="2">
      <t>ガイヘキ</t>
    </rPh>
    <rPh sb="2" eb="4">
      <t>タイサク</t>
    </rPh>
    <phoneticPr fontId="2"/>
  </si>
  <si>
    <t>kWh/年</t>
    <rPh sb="4" eb="5">
      <t>ネン</t>
    </rPh>
    <phoneticPr fontId="2"/>
  </si>
  <si>
    <t>計算結果</t>
    <rPh sb="0" eb="2">
      <t>ケイサン</t>
    </rPh>
    <rPh sb="2" eb="4">
      <t>ケッカ</t>
    </rPh>
    <phoneticPr fontId="2"/>
  </si>
  <si>
    <t>消費電力削減量</t>
    <rPh sb="0" eb="2">
      <t>ショウヒ</t>
    </rPh>
    <rPh sb="2" eb="4">
      <t>デンリョク</t>
    </rPh>
    <rPh sb="4" eb="6">
      <t>サクゲン</t>
    </rPh>
    <rPh sb="6" eb="7">
      <t>リョウ</t>
    </rPh>
    <phoneticPr fontId="2"/>
  </si>
  <si>
    <t>CO2削減量</t>
    <rPh sb="3" eb="5">
      <t>サクゲン</t>
    </rPh>
    <rPh sb="5" eb="6">
      <t>リョウ</t>
    </rPh>
    <phoneticPr fontId="2"/>
  </si>
  <si>
    <t>暑さ対策を行う屋根・外壁・窓ガラスの面積</t>
    <rPh sb="0" eb="1">
      <t>アツ</t>
    </rPh>
    <rPh sb="2" eb="4">
      <t>タイサク</t>
    </rPh>
    <rPh sb="5" eb="6">
      <t>オコナ</t>
    </rPh>
    <rPh sb="7" eb="9">
      <t>ヤネ</t>
    </rPh>
    <rPh sb="10" eb="12">
      <t>ガイヘキ</t>
    </rPh>
    <rPh sb="13" eb="14">
      <t>マド</t>
    </rPh>
    <rPh sb="18" eb="20">
      <t>メンセキ</t>
    </rPh>
    <phoneticPr fontId="2"/>
  </si>
  <si>
    <t>冷房室内温度</t>
    <rPh sb="0" eb="2">
      <t>レイボウ</t>
    </rPh>
    <rPh sb="2" eb="4">
      <t>シツナイ</t>
    </rPh>
    <rPh sb="4" eb="6">
      <t>オンド</t>
    </rPh>
    <phoneticPr fontId="2"/>
  </si>
  <si>
    <t>暖房室内温度</t>
    <rPh sb="0" eb="2">
      <t>ダンボウ</t>
    </rPh>
    <rPh sb="2" eb="4">
      <t>シツナイ</t>
    </rPh>
    <rPh sb="4" eb="6">
      <t>オンド</t>
    </rPh>
    <phoneticPr fontId="2"/>
  </si>
  <si>
    <t>対策前の外皮条件</t>
    <rPh sb="0" eb="2">
      <t>タイサク</t>
    </rPh>
    <rPh sb="2" eb="3">
      <t>マエ</t>
    </rPh>
    <rPh sb="4" eb="6">
      <t>ガイヒ</t>
    </rPh>
    <rPh sb="6" eb="8">
      <t>ジョウケン</t>
    </rPh>
    <phoneticPr fontId="2"/>
  </si>
  <si>
    <t>窓ガラス熱貫流率</t>
    <rPh sb="0" eb="1">
      <t>マド</t>
    </rPh>
    <rPh sb="4" eb="5">
      <t>ネツ</t>
    </rPh>
    <rPh sb="5" eb="7">
      <t>カンリュウ</t>
    </rPh>
    <rPh sb="7" eb="8">
      <t>リツ</t>
    </rPh>
    <phoneticPr fontId="2"/>
  </si>
  <si>
    <t>仕様</t>
    <rPh sb="0" eb="2">
      <t>シヨウ</t>
    </rPh>
    <phoneticPr fontId="2"/>
  </si>
  <si>
    <t>屋根</t>
    <rPh sb="0" eb="2">
      <t>ヤネ</t>
    </rPh>
    <phoneticPr fontId="2"/>
  </si>
  <si>
    <t>熱伝導率</t>
    <rPh sb="0" eb="1">
      <t>ネツ</t>
    </rPh>
    <rPh sb="1" eb="4">
      <t>デンドウリツ</t>
    </rPh>
    <phoneticPr fontId="2"/>
  </si>
  <si>
    <t>熱伝達率</t>
    <rPh sb="0" eb="1">
      <t>ネツ</t>
    </rPh>
    <rPh sb="1" eb="3">
      <t>デンタツ</t>
    </rPh>
    <rPh sb="3" eb="4">
      <t>リツ</t>
    </rPh>
    <phoneticPr fontId="2"/>
  </si>
  <si>
    <t>外表面</t>
    <rPh sb="0" eb="1">
      <t>ソト</t>
    </rPh>
    <rPh sb="1" eb="3">
      <t>ヒョウメン</t>
    </rPh>
    <phoneticPr fontId="2"/>
  </si>
  <si>
    <t>厚さ</t>
    <rPh sb="0" eb="1">
      <t>アツ</t>
    </rPh>
    <phoneticPr fontId="2"/>
  </si>
  <si>
    <t>ｍ</t>
    <phoneticPr fontId="2"/>
  </si>
  <si>
    <t>W/m℃</t>
    <phoneticPr fontId="2"/>
  </si>
  <si>
    <t>W/m2℃</t>
    <phoneticPr fontId="2"/>
  </si>
  <si>
    <t>熱抵抗</t>
    <rPh sb="0" eb="1">
      <t>ネツ</t>
    </rPh>
    <rPh sb="1" eb="3">
      <t>テイコウ</t>
    </rPh>
    <phoneticPr fontId="2"/>
  </si>
  <si>
    <t>m2℃/W</t>
    <phoneticPr fontId="2"/>
  </si>
  <si>
    <t>内表面</t>
    <rPh sb="0" eb="1">
      <t>ウチ</t>
    </rPh>
    <rPh sb="1" eb="3">
      <t>ヒョウメン</t>
    </rPh>
    <phoneticPr fontId="2"/>
  </si>
  <si>
    <t>合計</t>
    <rPh sb="0" eb="2">
      <t>ゴウケイ</t>
    </rPh>
    <phoneticPr fontId="2"/>
  </si>
  <si>
    <t>熱貫流率</t>
    <rPh sb="0" eb="1">
      <t>ネツ</t>
    </rPh>
    <rPh sb="1" eb="3">
      <t>カンリュウ</t>
    </rPh>
    <rPh sb="3" eb="4">
      <t>リツ</t>
    </rPh>
    <phoneticPr fontId="2"/>
  </si>
  <si>
    <t>項目</t>
    <rPh sb="0" eb="2">
      <t>コウモク</t>
    </rPh>
    <phoneticPr fontId="2"/>
  </si>
  <si>
    <t>外壁</t>
    <rPh sb="0" eb="2">
      <t>ガイヘキ</t>
    </rPh>
    <phoneticPr fontId="2"/>
  </si>
  <si>
    <t>タイル</t>
    <phoneticPr fontId="2"/>
  </si>
  <si>
    <t>モルタル</t>
    <phoneticPr fontId="2"/>
  </si>
  <si>
    <t>普通コンクリート</t>
    <rPh sb="0" eb="2">
      <t>フツウ</t>
    </rPh>
    <phoneticPr fontId="2"/>
  </si>
  <si>
    <t>ポリスチレン発泡板</t>
    <rPh sb="6" eb="8">
      <t>ハッポウ</t>
    </rPh>
    <rPh sb="8" eb="9">
      <t>イタ</t>
    </rPh>
    <phoneticPr fontId="2"/>
  </si>
  <si>
    <t>④上記以外（JISで示された熱貫流率）</t>
    <rPh sb="1" eb="3">
      <t>ジョウキ</t>
    </rPh>
    <rPh sb="3" eb="5">
      <t>イガイ</t>
    </rPh>
    <rPh sb="10" eb="11">
      <t>シメ</t>
    </rPh>
    <rPh sb="14" eb="15">
      <t>ネツ</t>
    </rPh>
    <rPh sb="15" eb="17">
      <t>カンリュウ</t>
    </rPh>
    <rPh sb="17" eb="18">
      <t>リツ</t>
    </rPh>
    <phoneticPr fontId="2"/>
  </si>
  <si>
    <t>部位</t>
    <rPh sb="0" eb="2">
      <t>ブイ</t>
    </rPh>
    <phoneticPr fontId="2"/>
  </si>
  <si>
    <t>①断熱</t>
    <rPh sb="1" eb="3">
      <t>ダンネツ</t>
    </rPh>
    <phoneticPr fontId="2"/>
  </si>
  <si>
    <t>②遮熱塗装</t>
    <rPh sb="1" eb="3">
      <t>シャネツ</t>
    </rPh>
    <rPh sb="3" eb="5">
      <t>トソウ</t>
    </rPh>
    <phoneticPr fontId="2"/>
  </si>
  <si>
    <t>対策を行う方位のみ、その数値に変更する。</t>
    <rPh sb="0" eb="2">
      <t>タイサク</t>
    </rPh>
    <rPh sb="3" eb="4">
      <t>オコナ</t>
    </rPh>
    <rPh sb="5" eb="7">
      <t>ホウイ</t>
    </rPh>
    <rPh sb="12" eb="14">
      <t>スウチ</t>
    </rPh>
    <rPh sb="15" eb="17">
      <t>ヘンコウ</t>
    </rPh>
    <phoneticPr fontId="2"/>
  </si>
  <si>
    <t>屋根について、対策を行わない場合は、数値を変更しない。</t>
    <rPh sb="0" eb="2">
      <t>ヤネ</t>
    </rPh>
    <rPh sb="7" eb="9">
      <t>タイサク</t>
    </rPh>
    <rPh sb="10" eb="11">
      <t>オコナ</t>
    </rPh>
    <rPh sb="14" eb="16">
      <t>バアイ</t>
    </rPh>
    <rPh sb="18" eb="20">
      <t>スウチ</t>
    </rPh>
    <rPh sb="21" eb="23">
      <t>ヘンコウ</t>
    </rPh>
    <phoneticPr fontId="2"/>
  </si>
  <si>
    <t>外壁について、対策を行わない方位の数値は変更しないこと。</t>
    <rPh sb="0" eb="2">
      <t>ガイヘキ</t>
    </rPh>
    <rPh sb="7" eb="9">
      <t>タイサク</t>
    </rPh>
    <rPh sb="10" eb="11">
      <t>オコナ</t>
    </rPh>
    <rPh sb="14" eb="16">
      <t>ホウイ</t>
    </rPh>
    <rPh sb="17" eb="19">
      <t>スウチ</t>
    </rPh>
    <rPh sb="20" eb="22">
      <t>ヘンコウ</t>
    </rPh>
    <phoneticPr fontId="2"/>
  </si>
  <si>
    <t>北東、東、南東について対策を行い</t>
    <rPh sb="0" eb="2">
      <t>ホクトウ</t>
    </rPh>
    <rPh sb="3" eb="4">
      <t>ヒガシ</t>
    </rPh>
    <rPh sb="5" eb="7">
      <t>ナントウ</t>
    </rPh>
    <rPh sb="11" eb="13">
      <t>タイサク</t>
    </rPh>
    <rPh sb="14" eb="15">
      <t>オコナ</t>
    </rPh>
    <phoneticPr fontId="2"/>
  </si>
  <si>
    <t>←0.3を入力</t>
    <rPh sb="5" eb="7">
      <t>ニュウリョク</t>
    </rPh>
    <phoneticPr fontId="2"/>
  </si>
  <si>
    <t>←変更なし</t>
    <rPh sb="1" eb="3">
      <t>ヘンコウ</t>
    </rPh>
    <phoneticPr fontId="2"/>
  </si>
  <si>
    <t>熱貫流率が”0.8”に変更する場合</t>
    <rPh sb="0" eb="1">
      <t>ネツ</t>
    </rPh>
    <rPh sb="1" eb="3">
      <t>カンリュウ</t>
    </rPh>
    <rPh sb="3" eb="4">
      <t>リツ</t>
    </rPh>
    <rPh sb="11" eb="13">
      <t>ヘンコウ</t>
    </rPh>
    <rPh sb="15" eb="17">
      <t>バアイ</t>
    </rPh>
    <phoneticPr fontId="2"/>
  </si>
  <si>
    <t>←0.8を入力</t>
    <rPh sb="5" eb="7">
      <t>ニュウリョク</t>
    </rPh>
    <phoneticPr fontId="2"/>
  </si>
  <si>
    <t>窓ガラスについて、対策を行わない方位の数値は変更しないこと。</t>
    <rPh sb="0" eb="1">
      <t>マド</t>
    </rPh>
    <rPh sb="9" eb="11">
      <t>タイサク</t>
    </rPh>
    <rPh sb="12" eb="13">
      <t>オコナ</t>
    </rPh>
    <rPh sb="16" eb="18">
      <t>ホウイ</t>
    </rPh>
    <rPh sb="19" eb="21">
      <t>スウチ</t>
    </rPh>
    <rPh sb="22" eb="24">
      <t>ヘンコウ</t>
    </rPh>
    <phoneticPr fontId="2"/>
  </si>
  <si>
    <t>南、南西、西について対策を行い</t>
    <rPh sb="0" eb="1">
      <t>ミナミ</t>
    </rPh>
    <rPh sb="2" eb="4">
      <t>ナンセイ</t>
    </rPh>
    <rPh sb="5" eb="6">
      <t>ニシ</t>
    </rPh>
    <rPh sb="10" eb="12">
      <t>タイサク</t>
    </rPh>
    <rPh sb="13" eb="14">
      <t>オコナ</t>
    </rPh>
    <phoneticPr fontId="2"/>
  </si>
  <si>
    <t>変更する場合</t>
    <phoneticPr fontId="2"/>
  </si>
  <si>
    <t>暑さ対策入力シート及び計算結果シート</t>
    <rPh sb="0" eb="1">
      <t>アツ</t>
    </rPh>
    <rPh sb="2" eb="4">
      <t>タイサク</t>
    </rPh>
    <rPh sb="4" eb="6">
      <t>ニュウリョク</t>
    </rPh>
    <rPh sb="9" eb="10">
      <t>オヨ</t>
    </rPh>
    <rPh sb="11" eb="13">
      <t>ケイサン</t>
    </rPh>
    <rPh sb="13" eb="15">
      <t>ケッカ</t>
    </rPh>
    <phoneticPr fontId="2"/>
  </si>
  <si>
    <t>←3、0.8を入力</t>
    <rPh sb="7" eb="9">
      <t>ニュウリョク</t>
    </rPh>
    <phoneticPr fontId="2"/>
  </si>
  <si>
    <t>当該建物の年間消費電力</t>
    <rPh sb="0" eb="2">
      <t>トウガイ</t>
    </rPh>
    <rPh sb="2" eb="4">
      <t>タテモノ</t>
    </rPh>
    <rPh sb="5" eb="7">
      <t>ネンカン</t>
    </rPh>
    <rPh sb="7" eb="9">
      <t>ショウヒ</t>
    </rPh>
    <rPh sb="9" eb="11">
      <t>デンリョク</t>
    </rPh>
    <phoneticPr fontId="2"/>
  </si>
  <si>
    <t>年間消費電力</t>
    <rPh sb="0" eb="2">
      <t>ネンカン</t>
    </rPh>
    <rPh sb="2" eb="4">
      <t>ショウヒ</t>
    </rPh>
    <rPh sb="4" eb="6">
      <t>デンリョク</t>
    </rPh>
    <phoneticPr fontId="2"/>
  </si>
  <si>
    <t>１年間の電気メーターの積算値（電力会社の伝票の１年分のkWhの値）</t>
    <rPh sb="1" eb="3">
      <t>ネンカン</t>
    </rPh>
    <rPh sb="4" eb="6">
      <t>デンキ</t>
    </rPh>
    <rPh sb="11" eb="13">
      <t>セキサン</t>
    </rPh>
    <rPh sb="13" eb="14">
      <t>アタイ</t>
    </rPh>
    <rPh sb="15" eb="17">
      <t>デンリョク</t>
    </rPh>
    <rPh sb="17" eb="19">
      <t>カイシャ</t>
    </rPh>
    <rPh sb="20" eb="22">
      <t>デンピョウ</t>
    </rPh>
    <rPh sb="24" eb="26">
      <t>ネンブン</t>
    </rPh>
    <rPh sb="31" eb="32">
      <t>アタイ</t>
    </rPh>
    <phoneticPr fontId="2"/>
  </si>
  <si>
    <t>省エネ率</t>
    <rPh sb="0" eb="1">
      <t>ショウ</t>
    </rPh>
    <rPh sb="3" eb="4">
      <t>リツ</t>
    </rPh>
    <phoneticPr fontId="2"/>
  </si>
  <si>
    <t>%</t>
    <phoneticPr fontId="2"/>
  </si>
  <si>
    <t>暑さ対策による省エネルギー提案の要点を下記致します。</t>
    <rPh sb="0" eb="1">
      <t>アツ</t>
    </rPh>
    <rPh sb="2" eb="4">
      <t>タイサク</t>
    </rPh>
    <rPh sb="7" eb="8">
      <t>ショウ</t>
    </rPh>
    <rPh sb="13" eb="15">
      <t>テイアン</t>
    </rPh>
    <rPh sb="16" eb="18">
      <t>ヨウテン</t>
    </rPh>
    <rPh sb="19" eb="21">
      <t>カキ</t>
    </rPh>
    <rPh sb="21" eb="22">
      <t>イタ</t>
    </rPh>
    <phoneticPr fontId="2"/>
  </si>
  <si>
    <t>遮熱と断熱</t>
    <rPh sb="0" eb="2">
      <t>シャネツ</t>
    </rPh>
    <rPh sb="3" eb="5">
      <t>ダンネツ</t>
    </rPh>
    <phoneticPr fontId="2"/>
  </si>
  <si>
    <t>太陽日射の影響を遮り、太陽に日射熱の吸収率を下げることによって、屋根、外壁、窓ガラスが受けつ日射熱を軽減し、冷房負荷を抑え、省エネルギーを図る</t>
    <rPh sb="0" eb="2">
      <t>タイヨウ</t>
    </rPh>
    <rPh sb="2" eb="4">
      <t>ニッシャ</t>
    </rPh>
    <rPh sb="5" eb="7">
      <t>エイキョウ</t>
    </rPh>
    <rPh sb="8" eb="9">
      <t>サエギ</t>
    </rPh>
    <rPh sb="11" eb="13">
      <t>タイヨウ</t>
    </rPh>
    <rPh sb="14" eb="16">
      <t>ニッシャ</t>
    </rPh>
    <rPh sb="16" eb="17">
      <t>ネツ</t>
    </rPh>
    <rPh sb="18" eb="20">
      <t>キュウシュウ</t>
    </rPh>
    <rPh sb="20" eb="21">
      <t>リツ</t>
    </rPh>
    <rPh sb="22" eb="23">
      <t>サ</t>
    </rPh>
    <rPh sb="32" eb="34">
      <t>ヤネ</t>
    </rPh>
    <rPh sb="35" eb="37">
      <t>ガイヘキ</t>
    </rPh>
    <rPh sb="38" eb="39">
      <t>マド</t>
    </rPh>
    <rPh sb="43" eb="44">
      <t>ウ</t>
    </rPh>
    <rPh sb="46" eb="48">
      <t>ニッシャ</t>
    </rPh>
    <rPh sb="48" eb="49">
      <t>ネツ</t>
    </rPh>
    <rPh sb="50" eb="52">
      <t>ケイゲン</t>
    </rPh>
    <rPh sb="54" eb="56">
      <t>レイボウ</t>
    </rPh>
    <rPh sb="56" eb="58">
      <t>フカ</t>
    </rPh>
    <rPh sb="59" eb="60">
      <t>オサ</t>
    </rPh>
    <rPh sb="62" eb="63">
      <t>ショウ</t>
    </rPh>
    <rPh sb="69" eb="70">
      <t>ハカ</t>
    </rPh>
    <phoneticPr fontId="2"/>
  </si>
  <si>
    <t>遮熱対策は、夏季の冷房負荷の低減にのみ有効であり、条件によっては、冬季の暖房負荷を増やす懸念が生じる。つまり、冬季は積極的に太陽日射熱を活用し、日中の暖房負荷を低減させる効果がある。そのことを十分に認識する必要がある。尚、暖房負荷計算における日射熱の影響は安全側でとらえるので、「動的熱負荷計算」ではない、通常の定常計算においては、方位係数などにより、日射熱の影響を加味して、暖房負荷計算に加味する場合もある。</t>
    <rPh sb="0" eb="2">
      <t>シャネツ</t>
    </rPh>
    <rPh sb="2" eb="4">
      <t>タイサク</t>
    </rPh>
    <rPh sb="6" eb="8">
      <t>カキ</t>
    </rPh>
    <rPh sb="9" eb="11">
      <t>レイボウ</t>
    </rPh>
    <rPh sb="11" eb="13">
      <t>フカ</t>
    </rPh>
    <rPh sb="14" eb="16">
      <t>テイゲン</t>
    </rPh>
    <rPh sb="19" eb="21">
      <t>ユウコウ</t>
    </rPh>
    <rPh sb="25" eb="27">
      <t>ジョウケン</t>
    </rPh>
    <rPh sb="33" eb="35">
      <t>トウキ</t>
    </rPh>
    <rPh sb="36" eb="38">
      <t>ダンボウ</t>
    </rPh>
    <rPh sb="38" eb="40">
      <t>フカ</t>
    </rPh>
    <rPh sb="41" eb="42">
      <t>フ</t>
    </rPh>
    <rPh sb="44" eb="46">
      <t>ケネン</t>
    </rPh>
    <rPh sb="47" eb="48">
      <t>ショウ</t>
    </rPh>
    <rPh sb="55" eb="57">
      <t>トウキ</t>
    </rPh>
    <rPh sb="58" eb="61">
      <t>セッキョクテキ</t>
    </rPh>
    <rPh sb="62" eb="64">
      <t>タイヨウ</t>
    </rPh>
    <rPh sb="64" eb="66">
      <t>ニッシャ</t>
    </rPh>
    <rPh sb="66" eb="67">
      <t>ネツ</t>
    </rPh>
    <rPh sb="68" eb="70">
      <t>カツヨウ</t>
    </rPh>
    <rPh sb="72" eb="74">
      <t>ニッチュウ</t>
    </rPh>
    <rPh sb="75" eb="77">
      <t>ダンボウ</t>
    </rPh>
    <rPh sb="77" eb="79">
      <t>フカ</t>
    </rPh>
    <rPh sb="80" eb="82">
      <t>テイゲン</t>
    </rPh>
    <rPh sb="85" eb="87">
      <t>コウカ</t>
    </rPh>
    <rPh sb="96" eb="98">
      <t>ジュウブン</t>
    </rPh>
    <rPh sb="99" eb="101">
      <t>ニンシキ</t>
    </rPh>
    <rPh sb="103" eb="105">
      <t>ヒツヨウ</t>
    </rPh>
    <rPh sb="109" eb="110">
      <t>ナオ</t>
    </rPh>
    <rPh sb="111" eb="113">
      <t>ダンボウ</t>
    </rPh>
    <rPh sb="113" eb="115">
      <t>フカ</t>
    </rPh>
    <rPh sb="115" eb="117">
      <t>ケイサン</t>
    </rPh>
    <rPh sb="121" eb="123">
      <t>ニッシャ</t>
    </rPh>
    <rPh sb="123" eb="124">
      <t>ネツ</t>
    </rPh>
    <rPh sb="125" eb="127">
      <t>エイキョウ</t>
    </rPh>
    <rPh sb="128" eb="130">
      <t>アンゼン</t>
    </rPh>
    <rPh sb="130" eb="131">
      <t>ガワ</t>
    </rPh>
    <rPh sb="140" eb="142">
      <t>ドウテキ</t>
    </rPh>
    <rPh sb="142" eb="143">
      <t>ネツ</t>
    </rPh>
    <rPh sb="143" eb="145">
      <t>フカ</t>
    </rPh>
    <rPh sb="145" eb="147">
      <t>ケイサン</t>
    </rPh>
    <rPh sb="153" eb="155">
      <t>ツウジョウ</t>
    </rPh>
    <rPh sb="156" eb="158">
      <t>テイジョウ</t>
    </rPh>
    <rPh sb="158" eb="160">
      <t>ケイサン</t>
    </rPh>
    <rPh sb="166" eb="168">
      <t>ホウイ</t>
    </rPh>
    <rPh sb="168" eb="170">
      <t>ケイスウ</t>
    </rPh>
    <rPh sb="176" eb="178">
      <t>ニッシャ</t>
    </rPh>
    <rPh sb="178" eb="179">
      <t>ネツ</t>
    </rPh>
    <rPh sb="180" eb="182">
      <t>エイキョウ</t>
    </rPh>
    <rPh sb="183" eb="185">
      <t>カミ</t>
    </rPh>
    <rPh sb="188" eb="190">
      <t>ダンボウ</t>
    </rPh>
    <rPh sb="190" eb="192">
      <t>フカ</t>
    </rPh>
    <rPh sb="192" eb="194">
      <t>ケイサン</t>
    </rPh>
    <rPh sb="195" eb="197">
      <t>カミ</t>
    </rPh>
    <rPh sb="199" eb="201">
      <t>バアイ</t>
    </rPh>
    <phoneticPr fontId="2"/>
  </si>
  <si>
    <t>屋根、外壁、窓ガラスに断熱性を持たせ、所謂、熱貫流率（K）の性能向上を図り、夏季は外部から侵入する熱を断ち、冬季は外部へ逃げる熱を断つ。断熱は、冷房、暖房の両面で効果がある。昨今は、国土交通省他、ハウスメーカーも、高気密・高断熱を省エネ建築の有効手段としているのは、その理由である。</t>
    <rPh sb="0" eb="2">
      <t>ヤネ</t>
    </rPh>
    <rPh sb="3" eb="5">
      <t>ガイヘキ</t>
    </rPh>
    <rPh sb="6" eb="7">
      <t>マド</t>
    </rPh>
    <rPh sb="11" eb="14">
      <t>ダンネツセイ</t>
    </rPh>
    <rPh sb="15" eb="16">
      <t>モ</t>
    </rPh>
    <rPh sb="19" eb="21">
      <t>イワユル</t>
    </rPh>
    <rPh sb="22" eb="23">
      <t>ネツ</t>
    </rPh>
    <rPh sb="23" eb="25">
      <t>カンリュウ</t>
    </rPh>
    <rPh sb="25" eb="26">
      <t>リツ</t>
    </rPh>
    <rPh sb="30" eb="32">
      <t>セイノウ</t>
    </rPh>
    <rPh sb="32" eb="34">
      <t>コウジョウ</t>
    </rPh>
    <rPh sb="35" eb="36">
      <t>ハカ</t>
    </rPh>
    <rPh sb="38" eb="40">
      <t>カキ</t>
    </rPh>
    <rPh sb="41" eb="43">
      <t>ガイブ</t>
    </rPh>
    <rPh sb="45" eb="47">
      <t>シンニュウ</t>
    </rPh>
    <rPh sb="49" eb="50">
      <t>ネツ</t>
    </rPh>
    <rPh sb="51" eb="52">
      <t>タ</t>
    </rPh>
    <rPh sb="54" eb="56">
      <t>トウキ</t>
    </rPh>
    <rPh sb="57" eb="59">
      <t>ガイブ</t>
    </rPh>
    <rPh sb="60" eb="61">
      <t>ニ</t>
    </rPh>
    <rPh sb="63" eb="64">
      <t>ネツ</t>
    </rPh>
    <rPh sb="65" eb="66">
      <t>タ</t>
    </rPh>
    <rPh sb="68" eb="70">
      <t>ダンネツ</t>
    </rPh>
    <rPh sb="72" eb="74">
      <t>レイボウ</t>
    </rPh>
    <rPh sb="75" eb="77">
      <t>ダンボウ</t>
    </rPh>
    <rPh sb="78" eb="80">
      <t>リョウメン</t>
    </rPh>
    <rPh sb="81" eb="83">
      <t>コウカ</t>
    </rPh>
    <rPh sb="87" eb="89">
      <t>サッコン</t>
    </rPh>
    <rPh sb="91" eb="93">
      <t>コクド</t>
    </rPh>
    <rPh sb="93" eb="96">
      <t>コウツウショウ</t>
    </rPh>
    <rPh sb="96" eb="97">
      <t>ホカ</t>
    </rPh>
    <rPh sb="107" eb="110">
      <t>コウキミツ</t>
    </rPh>
    <rPh sb="111" eb="114">
      <t>コウダンネツ</t>
    </rPh>
    <rPh sb="115" eb="116">
      <t>ショウ</t>
    </rPh>
    <rPh sb="118" eb="120">
      <t>ケンチク</t>
    </rPh>
    <rPh sb="121" eb="123">
      <t>ユウコウ</t>
    </rPh>
    <rPh sb="123" eb="125">
      <t>シュダン</t>
    </rPh>
    <rPh sb="135" eb="137">
      <t>リユウ</t>
    </rPh>
    <phoneticPr fontId="2"/>
  </si>
  <si>
    <t>断熱の性能評価のポイントは、屋根・壁・窓ガラスの熱貫流率が支配する。</t>
    <rPh sb="0" eb="2">
      <t>ダンネツ</t>
    </rPh>
    <rPh sb="3" eb="5">
      <t>セイノウ</t>
    </rPh>
    <rPh sb="5" eb="7">
      <t>ヒョウカ</t>
    </rPh>
    <rPh sb="14" eb="16">
      <t>ヤネ</t>
    </rPh>
    <rPh sb="17" eb="18">
      <t>カベ</t>
    </rPh>
    <rPh sb="19" eb="20">
      <t>マド</t>
    </rPh>
    <rPh sb="24" eb="25">
      <t>ネツ</t>
    </rPh>
    <rPh sb="25" eb="27">
      <t>カンリュウ</t>
    </rPh>
    <rPh sb="27" eb="28">
      <t>リツ</t>
    </rPh>
    <rPh sb="29" eb="31">
      <t>シハイ</t>
    </rPh>
    <phoneticPr fontId="2"/>
  </si>
  <si>
    <t>空気調和設備における熱負荷について</t>
    <rPh sb="0" eb="2">
      <t>クウキ</t>
    </rPh>
    <rPh sb="2" eb="4">
      <t>チョウワ</t>
    </rPh>
    <rPh sb="4" eb="6">
      <t>セツビ</t>
    </rPh>
    <rPh sb="10" eb="11">
      <t>ネツ</t>
    </rPh>
    <rPh sb="11" eb="13">
      <t>フカ</t>
    </rPh>
    <phoneticPr fontId="2"/>
  </si>
  <si>
    <t>窓ガラスからの熱貫流負荷</t>
    <rPh sb="0" eb="1">
      <t>マド</t>
    </rPh>
    <rPh sb="7" eb="8">
      <t>ネツ</t>
    </rPh>
    <rPh sb="8" eb="10">
      <t>カンリュウ</t>
    </rPh>
    <rPh sb="10" eb="12">
      <t>フカ</t>
    </rPh>
    <phoneticPr fontId="2"/>
  </si>
  <si>
    <t>窓ガラスからの日射熱負荷</t>
    <rPh sb="0" eb="1">
      <t>マド</t>
    </rPh>
    <rPh sb="7" eb="9">
      <t>ニッシャ</t>
    </rPh>
    <rPh sb="9" eb="10">
      <t>ネツ</t>
    </rPh>
    <rPh sb="10" eb="12">
      <t>フカ</t>
    </rPh>
    <phoneticPr fontId="2"/>
  </si>
  <si>
    <t>屋根・外壁からの熱貫流負荷</t>
    <rPh sb="0" eb="2">
      <t>ヤネ</t>
    </rPh>
    <rPh sb="3" eb="5">
      <t>ガイヘキ</t>
    </rPh>
    <rPh sb="8" eb="9">
      <t>ネツ</t>
    </rPh>
    <rPh sb="9" eb="11">
      <t>カンリュウ</t>
    </rPh>
    <rPh sb="11" eb="13">
      <t>フカ</t>
    </rPh>
    <phoneticPr fontId="2"/>
  </si>
  <si>
    <t>天井・床・内壁からの熱負荷</t>
    <rPh sb="0" eb="2">
      <t>テンジョウ</t>
    </rPh>
    <rPh sb="3" eb="4">
      <t>ユカ</t>
    </rPh>
    <rPh sb="5" eb="7">
      <t>ナイヘキ</t>
    </rPh>
    <rPh sb="10" eb="11">
      <t>ネツ</t>
    </rPh>
    <rPh sb="11" eb="13">
      <t>フカ</t>
    </rPh>
    <phoneticPr fontId="2"/>
  </si>
  <si>
    <t>地中壁からの熱負荷</t>
    <rPh sb="0" eb="2">
      <t>チチュウ</t>
    </rPh>
    <rPh sb="2" eb="3">
      <t>カベ</t>
    </rPh>
    <rPh sb="6" eb="7">
      <t>ネツ</t>
    </rPh>
    <rPh sb="7" eb="9">
      <t>フカ</t>
    </rPh>
    <phoneticPr fontId="2"/>
  </si>
  <si>
    <t>すきま風による熱負荷</t>
    <rPh sb="3" eb="4">
      <t>カゼ</t>
    </rPh>
    <rPh sb="7" eb="8">
      <t>ネツ</t>
    </rPh>
    <rPh sb="8" eb="10">
      <t>フカ</t>
    </rPh>
    <phoneticPr fontId="2"/>
  </si>
  <si>
    <t>人体の発熱による熱負荷</t>
    <rPh sb="0" eb="2">
      <t>ジンタイ</t>
    </rPh>
    <rPh sb="3" eb="5">
      <t>ハツネツ</t>
    </rPh>
    <rPh sb="8" eb="9">
      <t>ネツ</t>
    </rPh>
    <rPh sb="9" eb="11">
      <t>フカ</t>
    </rPh>
    <phoneticPr fontId="2"/>
  </si>
  <si>
    <t>照明の発熱による熱負荷</t>
    <rPh sb="0" eb="2">
      <t>ショウメイ</t>
    </rPh>
    <rPh sb="3" eb="5">
      <t>ハツネツ</t>
    </rPh>
    <rPh sb="8" eb="9">
      <t>ネツ</t>
    </rPh>
    <rPh sb="9" eb="11">
      <t>フカ</t>
    </rPh>
    <phoneticPr fontId="2"/>
  </si>
  <si>
    <t>機器の発熱による熱負荷</t>
    <rPh sb="0" eb="2">
      <t>キキ</t>
    </rPh>
    <rPh sb="3" eb="5">
      <t>ハツネツ</t>
    </rPh>
    <rPh sb="8" eb="9">
      <t>ネツ</t>
    </rPh>
    <rPh sb="9" eb="11">
      <t>フカ</t>
    </rPh>
    <phoneticPr fontId="2"/>
  </si>
  <si>
    <t>壁体からの透湿量</t>
    <rPh sb="0" eb="2">
      <t>ヘキタイ</t>
    </rPh>
    <rPh sb="5" eb="7">
      <t>トウシツ</t>
    </rPh>
    <rPh sb="7" eb="8">
      <t>リョウ</t>
    </rPh>
    <phoneticPr fontId="2"/>
  </si>
  <si>
    <t>間欠空調による蓄熱負荷</t>
    <rPh sb="0" eb="2">
      <t>カンケツ</t>
    </rPh>
    <rPh sb="2" eb="4">
      <t>クウチョウ</t>
    </rPh>
    <rPh sb="7" eb="9">
      <t>チクネツ</t>
    </rPh>
    <rPh sb="9" eb="11">
      <t>フカ</t>
    </rPh>
    <phoneticPr fontId="2"/>
  </si>
  <si>
    <t>冷房</t>
    <rPh sb="0" eb="2">
      <t>レイボウ</t>
    </rPh>
    <phoneticPr fontId="2"/>
  </si>
  <si>
    <t>暖房</t>
    <rPh sb="0" eb="2">
      <t>ダンボウ</t>
    </rPh>
    <phoneticPr fontId="2"/>
  </si>
  <si>
    <t>○</t>
    <phoneticPr fontId="2"/>
  </si>
  <si>
    <t>●</t>
    <phoneticPr fontId="2"/>
  </si>
  <si>
    <t>▲</t>
    <phoneticPr fontId="2"/>
  </si>
  <si>
    <t>暑さ対策の対象外</t>
    <rPh sb="0" eb="1">
      <t>アツ</t>
    </rPh>
    <rPh sb="2" eb="4">
      <t>タイサク</t>
    </rPh>
    <rPh sb="5" eb="8">
      <t>タイショウガイ</t>
    </rPh>
    <phoneticPr fontId="2"/>
  </si>
  <si>
    <t>暑さ対策の対象</t>
    <rPh sb="0" eb="1">
      <t>アツ</t>
    </rPh>
    <rPh sb="2" eb="4">
      <t>タイサク</t>
    </rPh>
    <rPh sb="5" eb="7">
      <t>タイショウ</t>
    </rPh>
    <phoneticPr fontId="2"/>
  </si>
  <si>
    <t>一般的には、空気調和設備の冷房負荷、暖房負荷の計算は下記による。</t>
    <rPh sb="0" eb="3">
      <t>イッパンテキ</t>
    </rPh>
    <rPh sb="6" eb="8">
      <t>クウキ</t>
    </rPh>
    <rPh sb="8" eb="10">
      <t>チョウワ</t>
    </rPh>
    <rPh sb="10" eb="12">
      <t>セツビ</t>
    </rPh>
    <rPh sb="13" eb="15">
      <t>レイボウ</t>
    </rPh>
    <rPh sb="15" eb="17">
      <t>フカ</t>
    </rPh>
    <rPh sb="18" eb="20">
      <t>ダンボウ</t>
    </rPh>
    <rPh sb="20" eb="22">
      <t>フカ</t>
    </rPh>
    <rPh sb="23" eb="25">
      <t>ケイサン</t>
    </rPh>
    <rPh sb="26" eb="28">
      <t>カキ</t>
    </rPh>
    <phoneticPr fontId="2"/>
  </si>
  <si>
    <t>日中</t>
    <rPh sb="0" eb="2">
      <t>ニッチュウ</t>
    </rPh>
    <phoneticPr fontId="2"/>
  </si>
  <si>
    <t>夜間</t>
    <rPh sb="0" eb="2">
      <t>ヤカン</t>
    </rPh>
    <phoneticPr fontId="2"/>
  </si>
  <si>
    <t>上記の３種類の式があるが、暑さ対策で共通の変数となるのは、Kgである。</t>
    <rPh sb="0" eb="2">
      <t>ジョウキ</t>
    </rPh>
    <rPh sb="4" eb="6">
      <t>シュルイ</t>
    </rPh>
    <rPh sb="7" eb="8">
      <t>シキ</t>
    </rPh>
    <rPh sb="18" eb="20">
      <t>キョウツウ</t>
    </rPh>
    <phoneticPr fontId="2"/>
  </si>
  <si>
    <t>Ｑｇ：</t>
    <phoneticPr fontId="2"/>
  </si>
  <si>
    <t>窓ガラスの貫流熱負荷（Ｗ）</t>
    <rPh sb="0" eb="1">
      <t>マド</t>
    </rPh>
    <rPh sb="5" eb="7">
      <t>カンリュウ</t>
    </rPh>
    <rPh sb="7" eb="8">
      <t>ネツ</t>
    </rPh>
    <rPh sb="8" eb="10">
      <t>フカ</t>
    </rPh>
    <phoneticPr fontId="2"/>
  </si>
  <si>
    <t>Ｋｇ：</t>
    <phoneticPr fontId="2"/>
  </si>
  <si>
    <t>ガラスの熱貫流率（Ｗ/m2℃）</t>
    <rPh sb="4" eb="5">
      <t>ネツ</t>
    </rPh>
    <rPh sb="5" eb="7">
      <t>カンリュウ</t>
    </rPh>
    <rPh sb="7" eb="8">
      <t>リツ</t>
    </rPh>
    <phoneticPr fontId="2"/>
  </si>
  <si>
    <t>Ag：</t>
    <phoneticPr fontId="2"/>
  </si>
  <si>
    <t>窓ガラスの面積(m2)</t>
    <rPh sb="0" eb="1">
      <t>マド</t>
    </rPh>
    <rPh sb="5" eb="7">
      <t>メンセキ</t>
    </rPh>
    <phoneticPr fontId="2"/>
  </si>
  <si>
    <t>To：</t>
    <phoneticPr fontId="2"/>
  </si>
  <si>
    <t>設計外気温度（℃）</t>
    <rPh sb="0" eb="2">
      <t>セッケイ</t>
    </rPh>
    <rPh sb="2" eb="4">
      <t>ガイキ</t>
    </rPh>
    <rPh sb="4" eb="6">
      <t>オンド</t>
    </rPh>
    <phoneticPr fontId="2"/>
  </si>
  <si>
    <t>Tr：</t>
    <phoneticPr fontId="2"/>
  </si>
  <si>
    <t>設計室内温度（℃）</t>
    <rPh sb="0" eb="2">
      <t>セッケイ</t>
    </rPh>
    <rPh sb="2" eb="4">
      <t>シツナイ</t>
    </rPh>
    <rPh sb="4" eb="6">
      <t>オンド</t>
    </rPh>
    <phoneticPr fontId="2"/>
  </si>
  <si>
    <t>ΔTｎ：</t>
    <phoneticPr fontId="2"/>
  </si>
  <si>
    <t>大気の放射冷却による温度（℃）</t>
    <rPh sb="0" eb="2">
      <t>タイキ</t>
    </rPh>
    <rPh sb="3" eb="5">
      <t>ホウシャ</t>
    </rPh>
    <rPh sb="5" eb="7">
      <t>レイキャク</t>
    </rPh>
    <rPh sb="10" eb="12">
      <t>オンド</t>
    </rPh>
    <phoneticPr fontId="2"/>
  </si>
  <si>
    <t>ｋ１：</t>
    <phoneticPr fontId="2"/>
  </si>
  <si>
    <t>ｋ２：</t>
    <phoneticPr fontId="2"/>
  </si>
  <si>
    <t>天井高による割増係数</t>
    <rPh sb="0" eb="2">
      <t>テンジョウ</t>
    </rPh>
    <rPh sb="2" eb="3">
      <t>タカ</t>
    </rPh>
    <rPh sb="6" eb="8">
      <t>ワリマシ</t>
    </rPh>
    <rPh sb="8" eb="10">
      <t>ケイスウ</t>
    </rPh>
    <phoneticPr fontId="2"/>
  </si>
  <si>
    <t>Kg以外の項目は、”暑さ対策”に起因するファクターではないことは理解される。</t>
    <rPh sb="2" eb="4">
      <t>イガイ</t>
    </rPh>
    <rPh sb="5" eb="7">
      <t>コウモク</t>
    </rPh>
    <rPh sb="10" eb="11">
      <t>アツ</t>
    </rPh>
    <rPh sb="12" eb="14">
      <t>タイサク</t>
    </rPh>
    <rPh sb="16" eb="18">
      <t>キイン</t>
    </rPh>
    <rPh sb="32" eb="34">
      <t>リカイ</t>
    </rPh>
    <phoneticPr fontId="2"/>
  </si>
  <si>
    <t>普通窓ガラス、ガラス厚さ6mmの熱貫流率は、6.29W/m2℃であるが、この窓を</t>
    <rPh sb="0" eb="2">
      <t>フツウ</t>
    </rPh>
    <rPh sb="2" eb="3">
      <t>マド</t>
    </rPh>
    <rPh sb="10" eb="11">
      <t>アツ</t>
    </rPh>
    <rPh sb="16" eb="17">
      <t>ネツ</t>
    </rPh>
    <rPh sb="17" eb="19">
      <t>カンリュウ</t>
    </rPh>
    <rPh sb="19" eb="20">
      <t>リツ</t>
    </rPh>
    <rPh sb="38" eb="39">
      <t>マド</t>
    </rPh>
    <phoneticPr fontId="2"/>
  </si>
  <si>
    <t>複層ガラス化し、熱線吸収ガラス6mmと透明ガラス6mmに改修した場合、熱貫</t>
    <rPh sb="0" eb="2">
      <t>フクソウ</t>
    </rPh>
    <rPh sb="5" eb="6">
      <t>カ</t>
    </rPh>
    <rPh sb="8" eb="9">
      <t>ネツ</t>
    </rPh>
    <rPh sb="9" eb="10">
      <t>セン</t>
    </rPh>
    <rPh sb="10" eb="12">
      <t>キュウシュウ</t>
    </rPh>
    <rPh sb="19" eb="21">
      <t>トウメイ</t>
    </rPh>
    <rPh sb="28" eb="30">
      <t>カイシュウ</t>
    </rPh>
    <rPh sb="32" eb="34">
      <t>バアイ</t>
    </rPh>
    <rPh sb="35" eb="36">
      <t>ネツ</t>
    </rPh>
    <rPh sb="36" eb="37">
      <t>ヌキ</t>
    </rPh>
    <phoneticPr fontId="2"/>
  </si>
  <si>
    <t>流率は、3.4W/m2℃となり、断熱性能が向上する。</t>
    <rPh sb="0" eb="1">
      <t>ナガレ</t>
    </rPh>
    <rPh sb="1" eb="2">
      <t>リツ</t>
    </rPh>
    <rPh sb="16" eb="18">
      <t>ダンネツ</t>
    </rPh>
    <rPh sb="18" eb="20">
      <t>セイノウ</t>
    </rPh>
    <rPh sb="21" eb="23">
      <t>コウジョウ</t>
    </rPh>
    <phoneticPr fontId="2"/>
  </si>
  <si>
    <t>①遮熱</t>
    <rPh sb="1" eb="3">
      <t>シャネツ</t>
    </rPh>
    <phoneticPr fontId="2"/>
  </si>
  <si>
    <t>②断熱</t>
    <rPh sb="1" eb="3">
      <t>ダンネツ</t>
    </rPh>
    <phoneticPr fontId="2"/>
  </si>
  <si>
    <t>①窓ガラスからの熱貫流負荷</t>
    <phoneticPr fontId="2"/>
  </si>
  <si>
    <t>②窓ガラスからの日射熱負荷</t>
    <rPh sb="1" eb="2">
      <t>マド</t>
    </rPh>
    <rPh sb="8" eb="10">
      <t>ニッシャ</t>
    </rPh>
    <rPh sb="10" eb="11">
      <t>ネツ</t>
    </rPh>
    <rPh sb="11" eb="13">
      <t>フカ</t>
    </rPh>
    <phoneticPr fontId="2"/>
  </si>
  <si>
    <t>※各数値の根拠は、空気調和衛生工学便覧の最新版の数値を採用すべきである</t>
    <rPh sb="1" eb="2">
      <t>カク</t>
    </rPh>
    <rPh sb="2" eb="4">
      <t>スウチ</t>
    </rPh>
    <rPh sb="5" eb="7">
      <t>コンキョ</t>
    </rPh>
    <rPh sb="9" eb="11">
      <t>クウキ</t>
    </rPh>
    <rPh sb="11" eb="13">
      <t>チョウワ</t>
    </rPh>
    <rPh sb="13" eb="15">
      <t>エイセイ</t>
    </rPh>
    <rPh sb="15" eb="17">
      <t>コウガク</t>
    </rPh>
    <rPh sb="17" eb="19">
      <t>ビンラン</t>
    </rPh>
    <rPh sb="20" eb="23">
      <t>サイシンバン</t>
    </rPh>
    <rPh sb="24" eb="26">
      <t>スウチ</t>
    </rPh>
    <rPh sb="27" eb="29">
      <t>サイヨウ</t>
    </rPh>
    <phoneticPr fontId="2"/>
  </si>
  <si>
    <t>窓ガラスからの日射熱の負荷計算は、通常の最大負荷計算の場合は、「冷房のみ」考慮する。暖房の場合は、安全側の考えから手計算では参入しないことが一般的である。尚、「動的熱負荷計算」による場合は、別途であるが、省エネ診断ベースでは、「動的熱負荷計算」を用いる必要性は無い。</t>
    <rPh sb="0" eb="1">
      <t>マド</t>
    </rPh>
    <rPh sb="7" eb="9">
      <t>ニッシャ</t>
    </rPh>
    <rPh sb="9" eb="10">
      <t>ネツ</t>
    </rPh>
    <rPh sb="11" eb="13">
      <t>フカ</t>
    </rPh>
    <rPh sb="13" eb="15">
      <t>ケイサン</t>
    </rPh>
    <rPh sb="17" eb="19">
      <t>ツウジョウ</t>
    </rPh>
    <rPh sb="20" eb="22">
      <t>サイダイ</t>
    </rPh>
    <rPh sb="22" eb="24">
      <t>フカ</t>
    </rPh>
    <rPh sb="24" eb="26">
      <t>ケイサン</t>
    </rPh>
    <rPh sb="27" eb="29">
      <t>バアイ</t>
    </rPh>
    <rPh sb="32" eb="34">
      <t>レイボウ</t>
    </rPh>
    <rPh sb="37" eb="39">
      <t>コウリョ</t>
    </rPh>
    <phoneticPr fontId="2"/>
  </si>
  <si>
    <t>外部に日除けの無い場合</t>
    <rPh sb="0" eb="2">
      <t>ガイブ</t>
    </rPh>
    <rPh sb="3" eb="5">
      <t>ヒヨ</t>
    </rPh>
    <rPh sb="7" eb="8">
      <t>ナ</t>
    </rPh>
    <rPh sb="9" eb="11">
      <t>バアイ</t>
    </rPh>
    <phoneticPr fontId="2"/>
  </si>
  <si>
    <t>Qgs＝SC×Ag＋Ig</t>
    <phoneticPr fontId="2"/>
  </si>
  <si>
    <t>外部に日除けの有る場合</t>
    <rPh sb="0" eb="2">
      <t>ガイブ</t>
    </rPh>
    <rPh sb="3" eb="5">
      <t>ヒヨ</t>
    </rPh>
    <rPh sb="7" eb="8">
      <t>ア</t>
    </rPh>
    <rPh sb="9" eb="11">
      <t>バアイ</t>
    </rPh>
    <phoneticPr fontId="2"/>
  </si>
  <si>
    <t>Qgs＝SC×Ag×（φｇｄ×Iｇｄ×Igs)</t>
    <phoneticPr fontId="2"/>
  </si>
  <si>
    <t>Qgs：</t>
    <phoneticPr fontId="2"/>
  </si>
  <si>
    <t>SC：</t>
    <phoneticPr fontId="2"/>
  </si>
  <si>
    <t>ガラスの遮蔽係数</t>
    <rPh sb="4" eb="6">
      <t>シャヘイ</t>
    </rPh>
    <rPh sb="6" eb="8">
      <t>ケイスウ</t>
    </rPh>
    <phoneticPr fontId="2"/>
  </si>
  <si>
    <t>遮熱の性能評価のポイントは、太陽日射吸収率あるいは遮蔽係数が支配する。</t>
    <rPh sb="0" eb="2">
      <t>シャネツ</t>
    </rPh>
    <rPh sb="3" eb="5">
      <t>セイノウ</t>
    </rPh>
    <rPh sb="5" eb="7">
      <t>ヒョウカ</t>
    </rPh>
    <rPh sb="14" eb="16">
      <t>タイヨウ</t>
    </rPh>
    <rPh sb="16" eb="18">
      <t>ニッシャ</t>
    </rPh>
    <rPh sb="18" eb="20">
      <t>キュウシュウ</t>
    </rPh>
    <rPh sb="20" eb="21">
      <t>リツ</t>
    </rPh>
    <rPh sb="25" eb="27">
      <t>シャヘイ</t>
    </rPh>
    <rPh sb="27" eb="29">
      <t>ケイスウ</t>
    </rPh>
    <rPh sb="30" eb="32">
      <t>シハイ</t>
    </rPh>
    <phoneticPr fontId="2"/>
  </si>
  <si>
    <t>Ig：</t>
    <phoneticPr fontId="2"/>
  </si>
  <si>
    <t>Igd：</t>
    <phoneticPr fontId="2"/>
  </si>
  <si>
    <t>Igs：</t>
    <phoneticPr fontId="2"/>
  </si>
  <si>
    <t>ガラス窓標準日射取得率(W/m2)</t>
    <rPh sb="3" eb="4">
      <t>マド</t>
    </rPh>
    <rPh sb="4" eb="6">
      <t>ヒョウジュン</t>
    </rPh>
    <rPh sb="6" eb="8">
      <t>ニッシャ</t>
    </rPh>
    <rPh sb="8" eb="11">
      <t>シュトクリツ</t>
    </rPh>
    <phoneticPr fontId="2"/>
  </si>
  <si>
    <t>ガラス窓標準日射取得率の直達日射成分(W/m2)</t>
    <rPh sb="3" eb="4">
      <t>マド</t>
    </rPh>
    <rPh sb="4" eb="6">
      <t>ヒョウジュン</t>
    </rPh>
    <rPh sb="6" eb="8">
      <t>ニッシャ</t>
    </rPh>
    <rPh sb="8" eb="11">
      <t>シュトクリツ</t>
    </rPh>
    <rPh sb="12" eb="14">
      <t>チョクタツ</t>
    </rPh>
    <rPh sb="14" eb="16">
      <t>ニッシャ</t>
    </rPh>
    <rPh sb="16" eb="18">
      <t>セイブン</t>
    </rPh>
    <phoneticPr fontId="2"/>
  </si>
  <si>
    <t>ガラス窓標準日射取得率の天空日射成分(W/m2)</t>
    <rPh sb="3" eb="4">
      <t>マド</t>
    </rPh>
    <rPh sb="4" eb="6">
      <t>ヒョウジュン</t>
    </rPh>
    <rPh sb="6" eb="8">
      <t>ニッシャ</t>
    </rPh>
    <rPh sb="8" eb="11">
      <t>シュトクリツ</t>
    </rPh>
    <rPh sb="12" eb="14">
      <t>テンクウ</t>
    </rPh>
    <rPh sb="14" eb="16">
      <t>ニッシャ</t>
    </rPh>
    <rPh sb="16" eb="18">
      <t>セイブン</t>
    </rPh>
    <phoneticPr fontId="2"/>
  </si>
  <si>
    <t>上記の２種類の式があるが、暑さ対策で共通の変数となるのは、SCである。</t>
    <rPh sb="0" eb="2">
      <t>ジョウキ</t>
    </rPh>
    <rPh sb="4" eb="6">
      <t>シュルイ</t>
    </rPh>
    <rPh sb="7" eb="8">
      <t>シキ</t>
    </rPh>
    <rPh sb="18" eb="20">
      <t>キョウツウ</t>
    </rPh>
    <phoneticPr fontId="2"/>
  </si>
  <si>
    <t>SC以外の項目は、”暑さ対策”に起因するファクターではないことは理解される。</t>
    <rPh sb="2" eb="4">
      <t>イガイ</t>
    </rPh>
    <rPh sb="5" eb="7">
      <t>コウモク</t>
    </rPh>
    <rPh sb="10" eb="11">
      <t>アツ</t>
    </rPh>
    <rPh sb="12" eb="14">
      <t>タイサク</t>
    </rPh>
    <rPh sb="16" eb="18">
      <t>キイン</t>
    </rPh>
    <rPh sb="32" eb="34">
      <t>リカイ</t>
    </rPh>
    <phoneticPr fontId="2"/>
  </si>
  <si>
    <t>③屋根・外壁からの熱貫流負荷</t>
    <rPh sb="1" eb="3">
      <t>ヤネ</t>
    </rPh>
    <rPh sb="4" eb="6">
      <t>ガイヘキ</t>
    </rPh>
    <rPh sb="9" eb="10">
      <t>ネツ</t>
    </rPh>
    <rPh sb="10" eb="12">
      <t>カンリュウ</t>
    </rPh>
    <rPh sb="12" eb="14">
      <t>フカ</t>
    </rPh>
    <phoneticPr fontId="2"/>
  </si>
  <si>
    <t>Qg＝Kg×Aｇ×（To－Tr）</t>
    <phoneticPr fontId="2"/>
  </si>
  <si>
    <t>Qg＝Kg×Aｇ×（To－Tr）×ｋ１×ｋ２</t>
    <phoneticPr fontId="2"/>
  </si>
  <si>
    <t>Qg＝Kg×Aｇ×（To－Tr－ΔＴｎ）×ｋ１×ｋ２</t>
    <phoneticPr fontId="2"/>
  </si>
  <si>
    <t>Qｗ＝Kｗ×Aｗ×ETD</t>
    <phoneticPr fontId="2"/>
  </si>
  <si>
    <t>Qｗ＝Kｗ×Aｗ×（To－Tr）×ｋ１</t>
    <phoneticPr fontId="2"/>
  </si>
  <si>
    <t>Qｗ＝Kg×Aｗ×（To－Tr－ΔＴｎ）×ｋ１</t>
    <phoneticPr fontId="2"/>
  </si>
  <si>
    <t>Ｑｗ：</t>
    <phoneticPr fontId="2"/>
  </si>
  <si>
    <t>Ｋｗ：</t>
    <phoneticPr fontId="2"/>
  </si>
  <si>
    <t>屋根・外壁の貫流熱負荷（Ｗ）</t>
    <rPh sb="0" eb="2">
      <t>ヤネ</t>
    </rPh>
    <rPh sb="3" eb="5">
      <t>ガイヘキ</t>
    </rPh>
    <rPh sb="6" eb="8">
      <t>カンリュウ</t>
    </rPh>
    <rPh sb="8" eb="9">
      <t>ネツ</t>
    </rPh>
    <rPh sb="9" eb="11">
      <t>フカ</t>
    </rPh>
    <phoneticPr fontId="2"/>
  </si>
  <si>
    <t>屋根・外壁の熱貫流率（Ｗ/m2℃）</t>
    <rPh sb="0" eb="2">
      <t>ヤネ</t>
    </rPh>
    <rPh sb="3" eb="5">
      <t>ガイヘキ</t>
    </rPh>
    <rPh sb="6" eb="7">
      <t>ネツ</t>
    </rPh>
    <rPh sb="7" eb="9">
      <t>カンリュウ</t>
    </rPh>
    <rPh sb="9" eb="10">
      <t>リツ</t>
    </rPh>
    <phoneticPr fontId="2"/>
  </si>
  <si>
    <t>屋根・外壁の面積(m2)</t>
    <rPh sb="0" eb="2">
      <t>ヤネ</t>
    </rPh>
    <rPh sb="3" eb="5">
      <t>ガイヘキ</t>
    </rPh>
    <rPh sb="6" eb="8">
      <t>メンセキ</t>
    </rPh>
    <phoneticPr fontId="2"/>
  </si>
  <si>
    <t>Aｗ：</t>
    <phoneticPr fontId="2"/>
  </si>
  <si>
    <t>ETD：</t>
    <phoneticPr fontId="2"/>
  </si>
  <si>
    <t>実効温度差（℃）</t>
    <rPh sb="0" eb="2">
      <t>ジッコウ</t>
    </rPh>
    <rPh sb="2" eb="5">
      <t>オンドサ</t>
    </rPh>
    <phoneticPr fontId="2"/>
  </si>
  <si>
    <t>上記の３種類の式があるが、暑さ対策で共通の変数となるのは、KｗとETDである。</t>
    <rPh sb="0" eb="2">
      <t>ジョウキ</t>
    </rPh>
    <rPh sb="4" eb="6">
      <t>シュルイ</t>
    </rPh>
    <rPh sb="7" eb="8">
      <t>シキ</t>
    </rPh>
    <rPh sb="18" eb="20">
      <t>キョウツウ</t>
    </rPh>
    <phoneticPr fontId="2"/>
  </si>
  <si>
    <t>KｗとETD以外の項目は、”暑さ対策”に起因するファクターではないことは理解される。</t>
    <rPh sb="6" eb="8">
      <t>イガイ</t>
    </rPh>
    <rPh sb="9" eb="11">
      <t>コウモク</t>
    </rPh>
    <rPh sb="14" eb="15">
      <t>アツ</t>
    </rPh>
    <rPh sb="16" eb="18">
      <t>タイサク</t>
    </rPh>
    <rPh sb="20" eb="22">
      <t>キイン</t>
    </rPh>
    <rPh sb="36" eb="38">
      <t>リカイ</t>
    </rPh>
    <phoneticPr fontId="2"/>
  </si>
  <si>
    <t>夏季の日射熱は、屋根や外壁に蓄熱される。昨今、外気が４０℃に到達することがあるが、日射に曝される外壁や屋根の表面温度は、５０℃、６０℃に到達することがある。通常、熱負荷計算は、外気温度と室内温度の温度差で求められるが、冷房（夏季）については、日射熱による蓄熱される熱を温度換算し、これを実行温度差（ETD）と定義し、求める必要がある。</t>
    <rPh sb="0" eb="2">
      <t>カキ</t>
    </rPh>
    <rPh sb="3" eb="5">
      <t>ニッシャ</t>
    </rPh>
    <rPh sb="5" eb="6">
      <t>ネツ</t>
    </rPh>
    <rPh sb="8" eb="10">
      <t>ヤネ</t>
    </rPh>
    <rPh sb="11" eb="13">
      <t>ガイヘキ</t>
    </rPh>
    <rPh sb="14" eb="16">
      <t>チクネツ</t>
    </rPh>
    <rPh sb="20" eb="22">
      <t>サッコン</t>
    </rPh>
    <rPh sb="23" eb="25">
      <t>ガイキ</t>
    </rPh>
    <rPh sb="30" eb="32">
      <t>トウタツ</t>
    </rPh>
    <rPh sb="41" eb="43">
      <t>ニッシャ</t>
    </rPh>
    <rPh sb="44" eb="45">
      <t>サラ</t>
    </rPh>
    <rPh sb="48" eb="50">
      <t>ガイヘキ</t>
    </rPh>
    <rPh sb="51" eb="53">
      <t>ヤネ</t>
    </rPh>
    <rPh sb="54" eb="56">
      <t>ヒョウメン</t>
    </rPh>
    <rPh sb="56" eb="58">
      <t>オンド</t>
    </rPh>
    <rPh sb="68" eb="70">
      <t>トウタツ</t>
    </rPh>
    <rPh sb="78" eb="80">
      <t>ツウジョウ</t>
    </rPh>
    <rPh sb="81" eb="82">
      <t>ネツ</t>
    </rPh>
    <rPh sb="82" eb="84">
      <t>フカ</t>
    </rPh>
    <rPh sb="84" eb="86">
      <t>ケイサン</t>
    </rPh>
    <rPh sb="88" eb="90">
      <t>ガイキ</t>
    </rPh>
    <rPh sb="90" eb="92">
      <t>オンド</t>
    </rPh>
    <rPh sb="93" eb="95">
      <t>シツナイ</t>
    </rPh>
    <rPh sb="95" eb="97">
      <t>オンド</t>
    </rPh>
    <rPh sb="98" eb="101">
      <t>オンドサ</t>
    </rPh>
    <rPh sb="102" eb="103">
      <t>モト</t>
    </rPh>
    <rPh sb="109" eb="111">
      <t>レイボウ</t>
    </rPh>
    <rPh sb="112" eb="114">
      <t>カキ</t>
    </rPh>
    <rPh sb="121" eb="123">
      <t>ニッシャ</t>
    </rPh>
    <rPh sb="123" eb="124">
      <t>ネツ</t>
    </rPh>
    <rPh sb="127" eb="129">
      <t>チクネツ</t>
    </rPh>
    <rPh sb="132" eb="133">
      <t>ネツ</t>
    </rPh>
    <rPh sb="134" eb="136">
      <t>オンド</t>
    </rPh>
    <rPh sb="136" eb="138">
      <t>カンサン</t>
    </rPh>
    <rPh sb="143" eb="145">
      <t>ジッコウ</t>
    </rPh>
    <rPh sb="145" eb="148">
      <t>オンドサ</t>
    </rPh>
    <rPh sb="154" eb="156">
      <t>テイギ</t>
    </rPh>
    <rPh sb="158" eb="159">
      <t>モト</t>
    </rPh>
    <rPh sb="161" eb="163">
      <t>ヒツヨウ</t>
    </rPh>
    <phoneticPr fontId="2"/>
  </si>
  <si>
    <t>実効温度差（ETD)は、対象となる壁面の方位、時刻などの要素を加味しなければならず、その計算結果を一覧表にしたものが、一般的に普及している。空気調和衛生工学会便覧に示されている。尚、屋根、外壁表面の日射吸収率が変わると、ETDも補正する必要があるので、注意が必要である。</t>
    <rPh sb="0" eb="2">
      <t>ジッコウ</t>
    </rPh>
    <rPh sb="2" eb="5">
      <t>オンドサ</t>
    </rPh>
    <rPh sb="12" eb="14">
      <t>タイショウ</t>
    </rPh>
    <rPh sb="17" eb="19">
      <t>ヘキメン</t>
    </rPh>
    <rPh sb="20" eb="22">
      <t>ホウイ</t>
    </rPh>
    <rPh sb="23" eb="25">
      <t>ジコク</t>
    </rPh>
    <rPh sb="28" eb="30">
      <t>ヨウソ</t>
    </rPh>
    <rPh sb="31" eb="33">
      <t>カミ</t>
    </rPh>
    <rPh sb="44" eb="46">
      <t>ケイサン</t>
    </rPh>
    <rPh sb="46" eb="48">
      <t>ケッカ</t>
    </rPh>
    <rPh sb="49" eb="51">
      <t>イチラン</t>
    </rPh>
    <rPh sb="51" eb="52">
      <t>ヒョウ</t>
    </rPh>
    <rPh sb="59" eb="62">
      <t>イッパンテキ</t>
    </rPh>
    <rPh sb="63" eb="65">
      <t>フキュウ</t>
    </rPh>
    <rPh sb="70" eb="72">
      <t>クウキ</t>
    </rPh>
    <rPh sb="72" eb="74">
      <t>チョウワ</t>
    </rPh>
    <rPh sb="74" eb="76">
      <t>エイセイ</t>
    </rPh>
    <rPh sb="76" eb="77">
      <t>コウ</t>
    </rPh>
    <rPh sb="77" eb="79">
      <t>ガッカイ</t>
    </rPh>
    <rPh sb="79" eb="81">
      <t>ビンラン</t>
    </rPh>
    <rPh sb="82" eb="83">
      <t>シメ</t>
    </rPh>
    <rPh sb="89" eb="90">
      <t>ナオ</t>
    </rPh>
    <rPh sb="91" eb="93">
      <t>ヤネ</t>
    </rPh>
    <rPh sb="94" eb="96">
      <t>ガイヘキ</t>
    </rPh>
    <rPh sb="96" eb="98">
      <t>ヒョウメン</t>
    </rPh>
    <rPh sb="99" eb="101">
      <t>ニッシャ</t>
    </rPh>
    <rPh sb="101" eb="103">
      <t>キュウシュウ</t>
    </rPh>
    <rPh sb="103" eb="104">
      <t>リツ</t>
    </rPh>
    <rPh sb="105" eb="106">
      <t>カ</t>
    </rPh>
    <rPh sb="114" eb="116">
      <t>ホセイ</t>
    </rPh>
    <rPh sb="118" eb="120">
      <t>ヒツヨウ</t>
    </rPh>
    <rPh sb="126" eb="128">
      <t>チュウイ</t>
    </rPh>
    <rPh sb="129" eb="131">
      <t>ヒツヨウ</t>
    </rPh>
    <phoneticPr fontId="2"/>
  </si>
  <si>
    <t>ETDの補正方法は、別紙による。</t>
    <rPh sb="4" eb="6">
      <t>ホセイ</t>
    </rPh>
    <rPh sb="6" eb="8">
      <t>ホウホウ</t>
    </rPh>
    <rPh sb="10" eb="12">
      <t>ベッシ</t>
    </rPh>
    <phoneticPr fontId="2"/>
  </si>
  <si>
    <t>まとめ</t>
    <phoneticPr fontId="2"/>
  </si>
  <si>
    <t>”暑さ対策”は、建築物の外皮（外壁・窓・屋根）の性能を断熱、遮熱、あるいは両方の手法で、改善・改修することで、冷房負荷・暖房負荷の低減を図ることである。</t>
    <rPh sb="1" eb="2">
      <t>アツ</t>
    </rPh>
    <rPh sb="3" eb="5">
      <t>タイサク</t>
    </rPh>
    <rPh sb="8" eb="11">
      <t>ケンチクブツ</t>
    </rPh>
    <rPh sb="12" eb="14">
      <t>ガイヒ</t>
    </rPh>
    <rPh sb="15" eb="17">
      <t>ガイヘキ</t>
    </rPh>
    <rPh sb="18" eb="19">
      <t>マド</t>
    </rPh>
    <rPh sb="20" eb="22">
      <t>ヤネ</t>
    </rPh>
    <rPh sb="24" eb="26">
      <t>セイノウ</t>
    </rPh>
    <rPh sb="27" eb="29">
      <t>ダンネツ</t>
    </rPh>
    <rPh sb="30" eb="32">
      <t>シャネツ</t>
    </rPh>
    <rPh sb="37" eb="39">
      <t>リョウホウ</t>
    </rPh>
    <rPh sb="40" eb="42">
      <t>シュホウ</t>
    </rPh>
    <rPh sb="44" eb="46">
      <t>カイゼン</t>
    </rPh>
    <rPh sb="47" eb="49">
      <t>カイシュウ</t>
    </rPh>
    <rPh sb="55" eb="57">
      <t>レイボウ</t>
    </rPh>
    <rPh sb="57" eb="59">
      <t>フカ</t>
    </rPh>
    <rPh sb="60" eb="62">
      <t>ダンボウ</t>
    </rPh>
    <rPh sb="62" eb="64">
      <t>フカ</t>
    </rPh>
    <rPh sb="65" eb="67">
      <t>テイゲン</t>
    </rPh>
    <rPh sb="68" eb="69">
      <t>ハカ</t>
    </rPh>
    <phoneticPr fontId="2"/>
  </si>
  <si>
    <t>よって、既存建築物の外皮（外壁・屋根・窓ガラス）の熱的特性（熱貫流率・遮熱係数等）を把握し、立地条件、建物構造を加味して、断熱性能、遮熱性能の向上を図ることである。</t>
    <rPh sb="4" eb="6">
      <t>キゾン</t>
    </rPh>
    <rPh sb="6" eb="9">
      <t>ケンチクブツ</t>
    </rPh>
    <rPh sb="10" eb="12">
      <t>ガイヒ</t>
    </rPh>
    <rPh sb="13" eb="15">
      <t>ガイヘキ</t>
    </rPh>
    <rPh sb="16" eb="18">
      <t>ヤネ</t>
    </rPh>
    <rPh sb="19" eb="20">
      <t>マド</t>
    </rPh>
    <rPh sb="25" eb="27">
      <t>ネツテキ</t>
    </rPh>
    <rPh sb="27" eb="29">
      <t>トクセイ</t>
    </rPh>
    <rPh sb="30" eb="31">
      <t>ネツ</t>
    </rPh>
    <rPh sb="31" eb="33">
      <t>カンリュウ</t>
    </rPh>
    <rPh sb="33" eb="34">
      <t>リツ</t>
    </rPh>
    <rPh sb="35" eb="37">
      <t>シャネツ</t>
    </rPh>
    <rPh sb="37" eb="39">
      <t>ケイスウ</t>
    </rPh>
    <rPh sb="39" eb="40">
      <t>ナド</t>
    </rPh>
    <rPh sb="42" eb="44">
      <t>ハアク</t>
    </rPh>
    <rPh sb="46" eb="48">
      <t>リッチ</t>
    </rPh>
    <rPh sb="48" eb="50">
      <t>ジョウケン</t>
    </rPh>
    <rPh sb="51" eb="53">
      <t>タテモノ</t>
    </rPh>
    <rPh sb="53" eb="55">
      <t>コウゾウ</t>
    </rPh>
    <rPh sb="56" eb="58">
      <t>カミ</t>
    </rPh>
    <rPh sb="61" eb="63">
      <t>ダンネツ</t>
    </rPh>
    <rPh sb="63" eb="65">
      <t>セイノウ</t>
    </rPh>
    <rPh sb="66" eb="68">
      <t>シャネツ</t>
    </rPh>
    <rPh sb="68" eb="70">
      <t>セイノウ</t>
    </rPh>
    <rPh sb="71" eb="73">
      <t>コウジョウ</t>
    </rPh>
    <rPh sb="74" eb="75">
      <t>ハカ</t>
    </rPh>
    <phoneticPr fontId="2"/>
  </si>
  <si>
    <t>効果検証には、対象部位の面積、外皮の熱的特性を把握し、対策方法を決め、対策後の外皮の熱的特性から、効果を算出することになる。</t>
    <rPh sb="0" eb="2">
      <t>コウカ</t>
    </rPh>
    <rPh sb="2" eb="4">
      <t>ケンショウ</t>
    </rPh>
    <rPh sb="7" eb="9">
      <t>タイショウ</t>
    </rPh>
    <rPh sb="9" eb="11">
      <t>ブイ</t>
    </rPh>
    <rPh sb="12" eb="14">
      <t>メンセキ</t>
    </rPh>
    <rPh sb="15" eb="17">
      <t>ガイヒ</t>
    </rPh>
    <rPh sb="18" eb="20">
      <t>ネツテキ</t>
    </rPh>
    <rPh sb="20" eb="22">
      <t>トクセイ</t>
    </rPh>
    <rPh sb="23" eb="25">
      <t>ハアク</t>
    </rPh>
    <rPh sb="27" eb="29">
      <t>タイサク</t>
    </rPh>
    <rPh sb="29" eb="31">
      <t>ホウホウ</t>
    </rPh>
    <rPh sb="32" eb="33">
      <t>キ</t>
    </rPh>
    <rPh sb="35" eb="37">
      <t>タイサク</t>
    </rPh>
    <rPh sb="37" eb="38">
      <t>ゴ</t>
    </rPh>
    <rPh sb="39" eb="41">
      <t>ガイヒ</t>
    </rPh>
    <rPh sb="42" eb="44">
      <t>ネツテキ</t>
    </rPh>
    <rPh sb="44" eb="46">
      <t>トクセイ</t>
    </rPh>
    <rPh sb="49" eb="51">
      <t>コウカ</t>
    </rPh>
    <rPh sb="52" eb="54">
      <t>サンシュツ</t>
    </rPh>
    <phoneticPr fontId="2"/>
  </si>
  <si>
    <t>参考文献</t>
    <rPh sb="0" eb="2">
      <t>サンコウ</t>
    </rPh>
    <rPh sb="2" eb="4">
      <t>ブンケン</t>
    </rPh>
    <phoneticPr fontId="2"/>
  </si>
  <si>
    <t>井上宇一著　空気調和ハンドブック（改訂５版）</t>
    <rPh sb="0" eb="2">
      <t>イノウエ</t>
    </rPh>
    <rPh sb="2" eb="5">
      <t>ウイチチョ</t>
    </rPh>
    <rPh sb="6" eb="8">
      <t>クウキ</t>
    </rPh>
    <rPh sb="8" eb="10">
      <t>チョウワ</t>
    </rPh>
    <rPh sb="17" eb="19">
      <t>カイテイ</t>
    </rPh>
    <rPh sb="20" eb="21">
      <t>ハン</t>
    </rPh>
    <phoneticPr fontId="2"/>
  </si>
  <si>
    <t>空気調和・衛生工学会編　徹底マスター熱負荷のしくみ</t>
    <rPh sb="0" eb="2">
      <t>クウキ</t>
    </rPh>
    <rPh sb="2" eb="4">
      <t>チョウワ</t>
    </rPh>
    <rPh sb="5" eb="7">
      <t>エイセイ</t>
    </rPh>
    <rPh sb="7" eb="8">
      <t>コウ</t>
    </rPh>
    <rPh sb="8" eb="10">
      <t>ガッカイ</t>
    </rPh>
    <rPh sb="10" eb="11">
      <t>ヘン</t>
    </rPh>
    <rPh sb="12" eb="14">
      <t>テッテイ</t>
    </rPh>
    <rPh sb="18" eb="19">
      <t>ネツ</t>
    </rPh>
    <rPh sb="19" eb="21">
      <t>フカ</t>
    </rPh>
    <phoneticPr fontId="2"/>
  </si>
  <si>
    <t>項目</t>
    <rPh sb="0" eb="2">
      <t>コウモク</t>
    </rPh>
    <phoneticPr fontId="2"/>
  </si>
  <si>
    <t>暑さ対策の対象の是非</t>
    <rPh sb="0" eb="1">
      <t>アツ</t>
    </rPh>
    <rPh sb="2" eb="4">
      <t>タイサク</t>
    </rPh>
    <rPh sb="5" eb="7">
      <t>タイショウ</t>
    </rPh>
    <rPh sb="8" eb="10">
      <t>ゼヒ</t>
    </rPh>
    <phoneticPr fontId="2"/>
  </si>
  <si>
    <t>※各数値の根拠は、空気調和衛生工学便覧の最新版の数値を採用すべきである。</t>
    <rPh sb="1" eb="2">
      <t>カク</t>
    </rPh>
    <rPh sb="2" eb="4">
      <t>スウチ</t>
    </rPh>
    <rPh sb="5" eb="7">
      <t>コンキョ</t>
    </rPh>
    <rPh sb="9" eb="11">
      <t>クウキ</t>
    </rPh>
    <rPh sb="11" eb="13">
      <t>チョウワ</t>
    </rPh>
    <rPh sb="13" eb="15">
      <t>エイセイ</t>
    </rPh>
    <rPh sb="15" eb="17">
      <t>コウガク</t>
    </rPh>
    <rPh sb="17" eb="19">
      <t>ビンラン</t>
    </rPh>
    <rPh sb="20" eb="23">
      <t>サイシンバン</t>
    </rPh>
    <rPh sb="24" eb="26">
      <t>スウチ</t>
    </rPh>
    <rPh sb="27" eb="29">
      <t>サイヨウ</t>
    </rPh>
    <phoneticPr fontId="2"/>
  </si>
  <si>
    <t>※実効温度の定義、定義式を下記のとおりである。</t>
    <rPh sb="1" eb="3">
      <t>ジッコウ</t>
    </rPh>
    <rPh sb="3" eb="5">
      <t>オンド</t>
    </rPh>
    <rPh sb="6" eb="8">
      <t>テイギ</t>
    </rPh>
    <rPh sb="9" eb="11">
      <t>テイギ</t>
    </rPh>
    <rPh sb="11" eb="12">
      <t>シキ</t>
    </rPh>
    <rPh sb="13" eb="15">
      <t>カキ</t>
    </rPh>
    <phoneticPr fontId="2"/>
  </si>
  <si>
    <t>基準となる実効温度差（ETD)の条件の概要を下記する。</t>
    <rPh sb="0" eb="2">
      <t>キジュン</t>
    </rPh>
    <rPh sb="5" eb="7">
      <t>ジッコウ</t>
    </rPh>
    <rPh sb="7" eb="10">
      <t>オンドサ</t>
    </rPh>
    <rPh sb="16" eb="18">
      <t>ジョウケン</t>
    </rPh>
    <rPh sb="19" eb="21">
      <t>ガイヨウ</t>
    </rPh>
    <rPh sb="22" eb="24">
      <t>カキ</t>
    </rPh>
    <phoneticPr fontId="2"/>
  </si>
  <si>
    <t>φn：</t>
    <phoneticPr fontId="2"/>
  </si>
  <si>
    <t>K：</t>
    <phoneticPr fontId="2"/>
  </si>
  <si>
    <t>SAT：</t>
    <phoneticPr fontId="2"/>
  </si>
  <si>
    <t>相当外気温度、日射の影響を等価な温度に換算し、外気温度があたかも上昇したかのように表した温度</t>
    <rPh sb="0" eb="2">
      <t>ソウトウ</t>
    </rPh>
    <rPh sb="2" eb="4">
      <t>ガイキ</t>
    </rPh>
    <rPh sb="4" eb="6">
      <t>オンド</t>
    </rPh>
    <rPh sb="7" eb="9">
      <t>ニッシャ</t>
    </rPh>
    <rPh sb="10" eb="12">
      <t>エイキョウ</t>
    </rPh>
    <rPh sb="13" eb="15">
      <t>トウカ</t>
    </rPh>
    <rPh sb="16" eb="18">
      <t>オンド</t>
    </rPh>
    <rPh sb="19" eb="21">
      <t>カンサン</t>
    </rPh>
    <rPh sb="23" eb="25">
      <t>ガイキ</t>
    </rPh>
    <rPh sb="25" eb="27">
      <t>オンド</t>
    </rPh>
    <rPh sb="32" eb="34">
      <t>ジョウショウ</t>
    </rPh>
    <rPh sb="41" eb="42">
      <t>アラワ</t>
    </rPh>
    <rPh sb="44" eb="46">
      <t>オンド</t>
    </rPh>
    <phoneticPr fontId="2"/>
  </si>
  <si>
    <t>ＥＴＤ’’：</t>
    <phoneticPr fontId="2"/>
  </si>
  <si>
    <t>ａ：</t>
    <phoneticPr fontId="2"/>
  </si>
  <si>
    <t>0.7：</t>
    <phoneticPr fontId="2"/>
  </si>
  <si>
    <r>
      <t>ＥＴＤ</t>
    </r>
    <r>
      <rPr>
        <vertAlign val="subscript"/>
        <sz val="11"/>
        <color theme="1"/>
        <rFont val="ＭＳ Ｐゴシック"/>
        <family val="3"/>
        <charset val="128"/>
        <scheme val="minor"/>
      </rPr>
      <t>0.7</t>
    </r>
    <r>
      <rPr>
        <sz val="11"/>
        <color theme="1"/>
        <rFont val="ＭＳ Ｐゴシック"/>
        <family val="3"/>
        <charset val="128"/>
        <scheme val="minor"/>
      </rPr>
      <t>：</t>
    </r>
    <phoneticPr fontId="2"/>
  </si>
  <si>
    <r>
      <t>ＥＴＤ</t>
    </r>
    <r>
      <rPr>
        <vertAlign val="subscript"/>
        <sz val="11"/>
        <color theme="1"/>
        <rFont val="ＭＳ Ｐゴシック"/>
        <family val="3"/>
        <charset val="128"/>
        <scheme val="minor"/>
      </rPr>
      <t>0.7・影</t>
    </r>
    <r>
      <rPr>
        <sz val="11"/>
        <color theme="1"/>
        <rFont val="ＭＳ Ｐゴシック"/>
        <family val="3"/>
        <charset val="128"/>
        <scheme val="minor"/>
      </rPr>
      <t>：</t>
    </r>
    <rPh sb="7" eb="8">
      <t>カゲ</t>
    </rPh>
    <phoneticPr fontId="2"/>
  </si>
  <si>
    <t>暑さ対策を実施する屋根、外壁、窓の施工面積を記入する。施工しない場合は「０」を入力する。</t>
    <rPh sb="0" eb="1">
      <t>アツ</t>
    </rPh>
    <rPh sb="2" eb="4">
      <t>タイサク</t>
    </rPh>
    <rPh sb="5" eb="7">
      <t>ジッシ</t>
    </rPh>
    <rPh sb="9" eb="11">
      <t>ヤネ</t>
    </rPh>
    <rPh sb="12" eb="14">
      <t>ガイヘキ</t>
    </rPh>
    <rPh sb="15" eb="16">
      <t>マド</t>
    </rPh>
    <rPh sb="17" eb="19">
      <t>セコウ</t>
    </rPh>
    <rPh sb="19" eb="21">
      <t>メンセキ</t>
    </rPh>
    <rPh sb="22" eb="24">
      <t>キニュウ</t>
    </rPh>
    <rPh sb="27" eb="29">
      <t>セコウ</t>
    </rPh>
    <rPh sb="32" eb="34">
      <t>バアイ</t>
    </rPh>
    <rPh sb="39" eb="41">
      <t>ニュウリョク</t>
    </rPh>
    <phoneticPr fontId="2"/>
  </si>
  <si>
    <t>図１　方位の解釈の例１</t>
    <rPh sb="0" eb="1">
      <t>ズ</t>
    </rPh>
    <rPh sb="3" eb="5">
      <t>ホウイ</t>
    </rPh>
    <rPh sb="6" eb="8">
      <t>カイシャク</t>
    </rPh>
    <rPh sb="9" eb="10">
      <t>レイ</t>
    </rPh>
    <phoneticPr fontId="2"/>
  </si>
  <si>
    <t>図２　方位の解釈の例２</t>
    <rPh sb="0" eb="1">
      <t>ズ</t>
    </rPh>
    <rPh sb="3" eb="5">
      <t>ホウイ</t>
    </rPh>
    <rPh sb="6" eb="8">
      <t>カイシャク</t>
    </rPh>
    <rPh sb="9" eb="10">
      <t>レイ</t>
    </rPh>
    <phoneticPr fontId="2"/>
  </si>
  <si>
    <t>方位については、図１、図２を参考にすること。</t>
    <rPh sb="0" eb="2">
      <t>ホウイ</t>
    </rPh>
    <rPh sb="8" eb="9">
      <t>ズ</t>
    </rPh>
    <rPh sb="11" eb="12">
      <t>ズ</t>
    </rPh>
    <rPh sb="14" eb="16">
      <t>サンコウ</t>
    </rPh>
    <phoneticPr fontId="2"/>
  </si>
  <si>
    <t>表－１　東京における日射吸収率0.7、室内温度26℃の実効温度差（ETD)</t>
    <rPh sb="0" eb="1">
      <t>ヒョウ</t>
    </rPh>
    <rPh sb="4" eb="6">
      <t>トウキョウ</t>
    </rPh>
    <rPh sb="10" eb="12">
      <t>ニッシャ</t>
    </rPh>
    <rPh sb="12" eb="14">
      <t>キュウシュウ</t>
    </rPh>
    <rPh sb="14" eb="15">
      <t>リツ</t>
    </rPh>
    <rPh sb="19" eb="21">
      <t>シツナイ</t>
    </rPh>
    <rPh sb="21" eb="23">
      <t>オンド</t>
    </rPh>
    <rPh sb="27" eb="29">
      <t>ジッコウ</t>
    </rPh>
    <rPh sb="29" eb="32">
      <t>オンドサ</t>
    </rPh>
    <phoneticPr fontId="2"/>
  </si>
  <si>
    <t>表-２　表－１に対して、地域補正、室内温度補正(２８℃)、日射吸収率(0.7)における補正ETD</t>
    <rPh sb="0" eb="1">
      <t>ヒョウ</t>
    </rPh>
    <rPh sb="4" eb="5">
      <t>ヒョウ</t>
    </rPh>
    <rPh sb="8" eb="9">
      <t>タイ</t>
    </rPh>
    <rPh sb="12" eb="14">
      <t>チイキ</t>
    </rPh>
    <rPh sb="14" eb="16">
      <t>ホセイ</t>
    </rPh>
    <rPh sb="17" eb="19">
      <t>シツナイ</t>
    </rPh>
    <rPh sb="19" eb="21">
      <t>オンド</t>
    </rPh>
    <rPh sb="21" eb="23">
      <t>ホセイ</t>
    </rPh>
    <rPh sb="29" eb="31">
      <t>ニッシャ</t>
    </rPh>
    <rPh sb="31" eb="33">
      <t>キュウシュウ</t>
    </rPh>
    <rPh sb="33" eb="34">
      <t>リツ</t>
    </rPh>
    <rPh sb="43" eb="45">
      <t>ホセイ</t>
    </rPh>
    <phoneticPr fontId="2"/>
  </si>
  <si>
    <t>表-４　表－３による日射吸収率補正に加え、地域補正（熊谷市）、室内温度補正を行った実効温度差（ＥＴＤ）</t>
    <rPh sb="0" eb="1">
      <t>ヒョウ</t>
    </rPh>
    <rPh sb="4" eb="5">
      <t>ヒョウ</t>
    </rPh>
    <rPh sb="10" eb="12">
      <t>ニッシャ</t>
    </rPh>
    <rPh sb="12" eb="14">
      <t>キュウシュウ</t>
    </rPh>
    <rPh sb="14" eb="15">
      <t>リツ</t>
    </rPh>
    <rPh sb="15" eb="17">
      <t>ホセイ</t>
    </rPh>
    <rPh sb="18" eb="19">
      <t>クワ</t>
    </rPh>
    <rPh sb="21" eb="23">
      <t>チイキ</t>
    </rPh>
    <rPh sb="23" eb="25">
      <t>ホセイ</t>
    </rPh>
    <rPh sb="26" eb="28">
      <t>クマガヤ</t>
    </rPh>
    <rPh sb="28" eb="29">
      <t>シ</t>
    </rPh>
    <rPh sb="31" eb="33">
      <t>シツナイ</t>
    </rPh>
    <rPh sb="33" eb="35">
      <t>オンド</t>
    </rPh>
    <rPh sb="35" eb="37">
      <t>ホセイ</t>
    </rPh>
    <rPh sb="38" eb="39">
      <t>オコナ</t>
    </rPh>
    <rPh sb="41" eb="43">
      <t>ジッコウ</t>
    </rPh>
    <rPh sb="43" eb="46">
      <t>オンドサ</t>
    </rPh>
    <phoneticPr fontId="2"/>
  </si>
  <si>
    <t>気象庁ＨＰから直接日射量（１ケ月の総日射量実測値）</t>
    <rPh sb="0" eb="3">
      <t>キショウチョウ</t>
    </rPh>
    <rPh sb="7" eb="9">
      <t>チョクセツ</t>
    </rPh>
    <rPh sb="9" eb="11">
      <t>ニッシャ</t>
    </rPh>
    <rPh sb="11" eb="12">
      <t>リョウ</t>
    </rPh>
    <rPh sb="15" eb="16">
      <t>ツキ</t>
    </rPh>
    <rPh sb="17" eb="18">
      <t>ソウ</t>
    </rPh>
    <rPh sb="18" eb="20">
      <t>ニッシャ</t>
    </rPh>
    <rPh sb="20" eb="21">
      <t>リョウ</t>
    </rPh>
    <rPh sb="21" eb="24">
      <t>ジッソクチ</t>
    </rPh>
    <phoneticPr fontId="2"/>
  </si>
  <si>
    <t>つくば市</t>
    <rPh sb="3" eb="4">
      <t>シ</t>
    </rPh>
    <phoneticPr fontId="2"/>
  </si>
  <si>
    <t>平均値</t>
    <rPh sb="0" eb="3">
      <t>ヘイキンチ</t>
    </rPh>
    <phoneticPr fontId="2"/>
  </si>
  <si>
    <t>５月</t>
    <rPh sb="1" eb="2">
      <t>ガツ</t>
    </rPh>
    <phoneticPr fontId="2"/>
  </si>
  <si>
    <t>６月</t>
    <rPh sb="1" eb="2">
      <t>ガツ</t>
    </rPh>
    <phoneticPr fontId="2"/>
  </si>
  <si>
    <t>７月</t>
  </si>
  <si>
    <t>８月</t>
  </si>
  <si>
    <t>９月</t>
  </si>
  <si>
    <t>１０月</t>
  </si>
  <si>
    <t>平均値</t>
    <rPh sb="0" eb="2">
      <t>ヘイキン</t>
    </rPh>
    <rPh sb="2" eb="3">
      <t>アタイ</t>
    </rPh>
    <phoneticPr fontId="2"/>
  </si>
  <si>
    <t>採用値</t>
    <rPh sb="0" eb="2">
      <t>サイヨウ</t>
    </rPh>
    <rPh sb="2" eb="3">
      <t>アタイ</t>
    </rPh>
    <phoneticPr fontId="2"/>
  </si>
  <si>
    <t>日射係数</t>
    <rPh sb="0" eb="2">
      <t>ニッシャ</t>
    </rPh>
    <rPh sb="2" eb="4">
      <t>ケイスウ</t>
    </rPh>
    <phoneticPr fontId="2"/>
  </si>
  <si>
    <t>初版</t>
    <rPh sb="0" eb="2">
      <t>ショハン</t>
    </rPh>
    <phoneticPr fontId="2"/>
  </si>
  <si>
    <t>黄色に着色したセルに必要事項を記入してください。記入例、注意事項に留意して作成してください。</t>
    <rPh sb="0" eb="2">
      <t>キイロ</t>
    </rPh>
    <rPh sb="3" eb="5">
      <t>チャクショク</t>
    </rPh>
    <rPh sb="10" eb="12">
      <t>ヒツヨウ</t>
    </rPh>
    <rPh sb="12" eb="14">
      <t>ジコウ</t>
    </rPh>
    <rPh sb="15" eb="17">
      <t>キニュウ</t>
    </rPh>
    <rPh sb="24" eb="26">
      <t>キニュウ</t>
    </rPh>
    <rPh sb="26" eb="27">
      <t>レイ</t>
    </rPh>
    <rPh sb="28" eb="30">
      <t>チュウイ</t>
    </rPh>
    <rPh sb="30" eb="32">
      <t>ジコウ</t>
    </rPh>
    <rPh sb="33" eb="35">
      <t>リュウイ</t>
    </rPh>
    <rPh sb="37" eb="39">
      <t>サクセイ</t>
    </rPh>
    <phoneticPr fontId="2"/>
  </si>
  <si>
    <t>立地場所に近い数値を採用してください。</t>
    <rPh sb="0" eb="2">
      <t>リッチ</t>
    </rPh>
    <rPh sb="2" eb="4">
      <t>バショ</t>
    </rPh>
    <rPh sb="5" eb="6">
      <t>チカ</t>
    </rPh>
    <rPh sb="7" eb="9">
      <t>スウチ</t>
    </rPh>
    <rPh sb="10" eb="12">
      <t>サイヨウ</t>
    </rPh>
    <phoneticPr fontId="2"/>
  </si>
  <si>
    <t>２ページ目に暑さ対策の計算結果が示されます。</t>
    <rPh sb="4" eb="5">
      <t>メ</t>
    </rPh>
    <rPh sb="6" eb="7">
      <t>アツ</t>
    </rPh>
    <rPh sb="8" eb="10">
      <t>タイサク</t>
    </rPh>
    <rPh sb="11" eb="13">
      <t>ケイサン</t>
    </rPh>
    <rPh sb="13" eb="15">
      <t>ケッカ</t>
    </rPh>
    <rPh sb="16" eb="17">
      <t>シメ</t>
    </rPh>
    <phoneticPr fontId="2"/>
  </si>
  <si>
    <t>【記入例】</t>
    <rPh sb="1" eb="3">
      <t>キニュウ</t>
    </rPh>
    <rPh sb="3" eb="4">
      <t>レイ</t>
    </rPh>
    <phoneticPr fontId="2"/>
  </si>
  <si>
    <t>年間冷房熱負荷削減量=Σ（対策前の外皮の熱負荷－対策後の外皮の熱負荷）</t>
    <rPh sb="13" eb="15">
      <t>タイサク</t>
    </rPh>
    <rPh sb="15" eb="16">
      <t>マエ</t>
    </rPh>
    <rPh sb="17" eb="19">
      <t>ガイヒ</t>
    </rPh>
    <rPh sb="20" eb="21">
      <t>ネツ</t>
    </rPh>
    <rPh sb="21" eb="23">
      <t>フカ</t>
    </rPh>
    <rPh sb="24" eb="26">
      <t>タイサク</t>
    </rPh>
    <rPh sb="26" eb="27">
      <t>ゴ</t>
    </rPh>
    <rPh sb="28" eb="30">
      <t>ガイヒ</t>
    </rPh>
    <rPh sb="31" eb="32">
      <t>ネツ</t>
    </rPh>
    <rPh sb="32" eb="34">
      <t>フカ</t>
    </rPh>
    <phoneticPr fontId="2"/>
  </si>
  <si>
    <t>年間暖房熱負荷削減量=Σ（対策前の外皮の熱負荷－対策後の外皮の熱負荷）</t>
    <rPh sb="13" eb="15">
      <t>タイサク</t>
    </rPh>
    <rPh sb="15" eb="16">
      <t>マエ</t>
    </rPh>
    <rPh sb="17" eb="19">
      <t>ガイヒ</t>
    </rPh>
    <rPh sb="20" eb="21">
      <t>ネツ</t>
    </rPh>
    <rPh sb="21" eb="23">
      <t>フカ</t>
    </rPh>
    <rPh sb="24" eb="26">
      <t>タイサク</t>
    </rPh>
    <rPh sb="26" eb="27">
      <t>ゴ</t>
    </rPh>
    <rPh sb="28" eb="30">
      <t>ガイヒ</t>
    </rPh>
    <rPh sb="31" eb="32">
      <t>ネツ</t>
    </rPh>
    <rPh sb="32" eb="34">
      <t>フカ</t>
    </rPh>
    <phoneticPr fontId="2"/>
  </si>
  <si>
    <t>年間冷房時電気使用量削減量=年間冷房熱負荷削減量×冷房COP</t>
    <rPh sb="14" eb="16">
      <t>ネンカン</t>
    </rPh>
    <rPh sb="16" eb="18">
      <t>レイボウ</t>
    </rPh>
    <rPh sb="18" eb="19">
      <t>ネツ</t>
    </rPh>
    <rPh sb="19" eb="21">
      <t>フカ</t>
    </rPh>
    <rPh sb="21" eb="23">
      <t>サクゲン</t>
    </rPh>
    <rPh sb="23" eb="24">
      <t>リョウ</t>
    </rPh>
    <rPh sb="25" eb="27">
      <t>レイボウ</t>
    </rPh>
    <phoneticPr fontId="2"/>
  </si>
  <si>
    <t>年間暖房時電気使用量削減量=年間暖房熱負荷削減量×暖房COP</t>
    <phoneticPr fontId="2"/>
  </si>
  <si>
    <t>年間暖房時電気使用量削減量=年間暖房熱負荷削減量×暖房COP</t>
    <phoneticPr fontId="2"/>
  </si>
  <si>
    <t>年間熱負荷削減量=年間冷房時電気使用量削減量＋年間暖房熱負荷削減量</t>
    <rPh sb="9" eb="11">
      <t>ネンカン</t>
    </rPh>
    <rPh sb="11" eb="13">
      <t>レイボウ</t>
    </rPh>
    <rPh sb="13" eb="14">
      <t>ジ</t>
    </rPh>
    <rPh sb="14" eb="16">
      <t>デンキ</t>
    </rPh>
    <rPh sb="16" eb="19">
      <t>シヨウリョウ</t>
    </rPh>
    <rPh sb="19" eb="21">
      <t>サクゲン</t>
    </rPh>
    <rPh sb="21" eb="22">
      <t>リョウ</t>
    </rPh>
    <phoneticPr fontId="2"/>
  </si>
  <si>
    <t>暑さ対策による二酸化炭素削減量=年間電気使用量削減量(MWh)×0.495t-CO2/MWh</t>
    <rPh sb="16" eb="18">
      <t>ネンカン</t>
    </rPh>
    <rPh sb="18" eb="20">
      <t>デンキ</t>
    </rPh>
    <rPh sb="20" eb="23">
      <t>シヨウリョウ</t>
    </rPh>
    <rPh sb="23" eb="25">
      <t>サクゲン</t>
    </rPh>
    <rPh sb="25" eb="26">
      <t>リョウ</t>
    </rPh>
    <phoneticPr fontId="2"/>
  </si>
  <si>
    <t>鋼板(シングル折板）</t>
    <rPh sb="0" eb="2">
      <t>コウハン</t>
    </rPh>
    <rPh sb="7" eb="8">
      <t>オリ</t>
    </rPh>
    <rPh sb="8" eb="9">
      <t>イタ</t>
    </rPh>
    <phoneticPr fontId="2"/>
  </si>
  <si>
    <t>裏張断熱材</t>
    <rPh sb="0" eb="1">
      <t>ウラ</t>
    </rPh>
    <rPh sb="1" eb="2">
      <t>ハリ</t>
    </rPh>
    <rPh sb="2" eb="5">
      <t>ダンネツザイ</t>
    </rPh>
    <phoneticPr fontId="2"/>
  </si>
  <si>
    <t>無機質高充填フォーム</t>
    <rPh sb="0" eb="2">
      <t>ムキ</t>
    </rPh>
    <rPh sb="2" eb="3">
      <t>シツ</t>
    </rPh>
    <rPh sb="3" eb="4">
      <t>タカ</t>
    </rPh>
    <rPh sb="4" eb="6">
      <t>ジュウテン</t>
    </rPh>
    <phoneticPr fontId="2"/>
  </si>
  <si>
    <t>一般的な工場・倉庫などの金属屋根の想定した値とする。</t>
    <rPh sb="0" eb="3">
      <t>イッパンテキ</t>
    </rPh>
    <rPh sb="4" eb="6">
      <t>コウジョウ</t>
    </rPh>
    <rPh sb="7" eb="9">
      <t>ソウコ</t>
    </rPh>
    <rPh sb="12" eb="14">
      <t>キンゾク</t>
    </rPh>
    <rPh sb="14" eb="16">
      <t>ヤネ</t>
    </rPh>
    <rPh sb="17" eb="19">
      <t>ソウテイ</t>
    </rPh>
    <rPh sb="21" eb="22">
      <t>アタイ</t>
    </rPh>
    <phoneticPr fontId="2"/>
  </si>
  <si>
    <t>押えコンクリート</t>
    <rPh sb="0" eb="1">
      <t>オサ</t>
    </rPh>
    <phoneticPr fontId="2"/>
  </si>
  <si>
    <t>防水層</t>
    <rPh sb="0" eb="2">
      <t>ボウスイ</t>
    </rPh>
    <rPh sb="2" eb="3">
      <t>ソウ</t>
    </rPh>
    <phoneticPr fontId="2"/>
  </si>
  <si>
    <t>石膏ボード</t>
    <rPh sb="0" eb="2">
      <t>セッコウ</t>
    </rPh>
    <phoneticPr fontId="2"/>
  </si>
  <si>
    <t>RC造陸屋根120mm、アスファルト防水の場合</t>
    <rPh sb="2" eb="3">
      <t>ゾウ</t>
    </rPh>
    <rPh sb="3" eb="6">
      <t>ロクヤネ</t>
    </rPh>
    <rPh sb="18" eb="20">
      <t>ボウスイ</t>
    </rPh>
    <rPh sb="21" eb="23">
      <t>バアイ</t>
    </rPh>
    <phoneticPr fontId="2"/>
  </si>
  <si>
    <t>外皮（屋根と外壁の熱貫流率）</t>
    <rPh sb="0" eb="2">
      <t>ガイヒ</t>
    </rPh>
    <rPh sb="3" eb="5">
      <t>ヤネ</t>
    </rPh>
    <rPh sb="6" eb="8">
      <t>ガイヘキ</t>
    </rPh>
    <rPh sb="9" eb="10">
      <t>ネツ</t>
    </rPh>
    <rPh sb="10" eb="12">
      <t>カンリュウ</t>
    </rPh>
    <rPh sb="12" eb="13">
      <t>リツ</t>
    </rPh>
    <phoneticPr fontId="2"/>
  </si>
  <si>
    <t>表－１　暑さ対策施工部位面積入力表</t>
    <rPh sb="0" eb="1">
      <t>ヒョウ</t>
    </rPh>
    <rPh sb="4" eb="5">
      <t>アツ</t>
    </rPh>
    <rPh sb="6" eb="8">
      <t>タイサク</t>
    </rPh>
    <rPh sb="8" eb="10">
      <t>セコウ</t>
    </rPh>
    <rPh sb="10" eb="12">
      <t>ブイ</t>
    </rPh>
    <rPh sb="12" eb="14">
      <t>メンセキ</t>
    </rPh>
    <rPh sb="14" eb="16">
      <t>ニュウリョク</t>
    </rPh>
    <rPh sb="16" eb="17">
      <t>ヒョウ</t>
    </rPh>
    <phoneticPr fontId="2"/>
  </si>
  <si>
    <t>表－２　対象建築物の年間消費電力入力表</t>
    <rPh sb="0" eb="1">
      <t>ヒョウ</t>
    </rPh>
    <rPh sb="4" eb="6">
      <t>タイショウ</t>
    </rPh>
    <rPh sb="6" eb="9">
      <t>ケンチクブツ</t>
    </rPh>
    <rPh sb="10" eb="12">
      <t>ネンカン</t>
    </rPh>
    <rPh sb="12" eb="14">
      <t>ショウヒ</t>
    </rPh>
    <rPh sb="14" eb="16">
      <t>デンリョク</t>
    </rPh>
    <rPh sb="16" eb="18">
      <t>ニュウリョク</t>
    </rPh>
    <rPh sb="18" eb="19">
      <t>ヒョウ</t>
    </rPh>
    <phoneticPr fontId="2"/>
  </si>
  <si>
    <t>W/m2℃</t>
  </si>
  <si>
    <t>表A　表－５の記入例</t>
    <rPh sb="0" eb="1">
      <t>ヒョウ</t>
    </rPh>
    <rPh sb="3" eb="4">
      <t>ヒョウ</t>
    </rPh>
    <rPh sb="7" eb="9">
      <t>キニュウ</t>
    </rPh>
    <rPh sb="9" eb="10">
      <t>レイ</t>
    </rPh>
    <phoneticPr fontId="2"/>
  </si>
  <si>
    <t>備考</t>
    <rPh sb="0" eb="2">
      <t>ビコウ</t>
    </rPh>
    <phoneticPr fontId="2"/>
  </si>
  <si>
    <t>表B　表－６の記入例</t>
    <rPh sb="0" eb="1">
      <t>ヒョウ</t>
    </rPh>
    <rPh sb="3" eb="4">
      <t>ヒョウ</t>
    </rPh>
    <rPh sb="7" eb="9">
      <t>キニュウ</t>
    </rPh>
    <rPh sb="9" eb="10">
      <t>レイ</t>
    </rPh>
    <phoneticPr fontId="2"/>
  </si>
  <si>
    <t>表C　表－８の記入例</t>
    <rPh sb="0" eb="1">
      <t>ヒョウ</t>
    </rPh>
    <rPh sb="3" eb="4">
      <t>ヒョウ</t>
    </rPh>
    <rPh sb="7" eb="9">
      <t>キニュウ</t>
    </rPh>
    <rPh sb="9" eb="10">
      <t>レイ</t>
    </rPh>
    <phoneticPr fontId="2"/>
  </si>
  <si>
    <t>表－９　暑さ対策による省エネ効果算出結果表</t>
    <rPh sb="11" eb="12">
      <t>ショウ</t>
    </rPh>
    <rPh sb="14" eb="16">
      <t>コウカ</t>
    </rPh>
    <rPh sb="16" eb="18">
      <t>サンシュツ</t>
    </rPh>
    <rPh sb="18" eb="20">
      <t>ケッカ</t>
    </rPh>
    <rPh sb="20" eb="21">
      <t>ヒョウ</t>
    </rPh>
    <phoneticPr fontId="2"/>
  </si>
  <si>
    <t>直接日射量</t>
    <phoneticPr fontId="2"/>
  </si>
  <si>
    <t>観測場所</t>
    <rPh sb="0" eb="2">
      <t>カンソク</t>
    </rPh>
    <rPh sb="2" eb="4">
      <t>バショ</t>
    </rPh>
    <phoneticPr fontId="2"/>
  </si>
  <si>
    <t xml:space="preserve">上尾市（あげおし） </t>
  </si>
  <si>
    <t xml:space="preserve">朝霞市（あさかし） </t>
  </si>
  <si>
    <t xml:space="preserve">伊奈町（いなまち） </t>
  </si>
  <si>
    <t xml:space="preserve">入間市（いるまし） </t>
  </si>
  <si>
    <t xml:space="preserve">小鹿野町（おがのまち） </t>
  </si>
  <si>
    <t xml:space="preserve">小川町（おがわまち） </t>
  </si>
  <si>
    <t xml:space="preserve">桶川市（おけがわし） </t>
  </si>
  <si>
    <t xml:space="preserve">越生町（おごせまち） </t>
  </si>
  <si>
    <t xml:space="preserve">春日部市（かすかべし） </t>
  </si>
  <si>
    <t xml:space="preserve">加須市（かぞし） </t>
  </si>
  <si>
    <t xml:space="preserve">神川町（かみかわまち） </t>
  </si>
  <si>
    <t xml:space="preserve">上里町（かみさとまち） </t>
  </si>
  <si>
    <t xml:space="preserve">川口市（かわぐちし） </t>
  </si>
  <si>
    <t xml:space="preserve">川越市（かわごえし） </t>
  </si>
  <si>
    <t xml:space="preserve">川島町（かわじままち） </t>
  </si>
  <si>
    <t xml:space="preserve">北本市（きたもとし） </t>
  </si>
  <si>
    <t xml:space="preserve">行田市（ぎょうだし） </t>
  </si>
  <si>
    <t xml:space="preserve">久喜市（くきし） </t>
  </si>
  <si>
    <t xml:space="preserve">熊谷市（くまがやし） </t>
  </si>
  <si>
    <t xml:space="preserve">鴻巣市（こうのすし） </t>
  </si>
  <si>
    <t xml:space="preserve">越谷市（こしがやし） </t>
  </si>
  <si>
    <t xml:space="preserve">さいたま市（さいたまし） </t>
  </si>
  <si>
    <t xml:space="preserve">坂戸市（さかどし） </t>
  </si>
  <si>
    <t xml:space="preserve">幸手市（さってし） </t>
  </si>
  <si>
    <t xml:space="preserve">狭山市（さやまし） </t>
  </si>
  <si>
    <t xml:space="preserve">志木市（しきし） </t>
  </si>
  <si>
    <t xml:space="preserve">白岡市（しらおかし） </t>
  </si>
  <si>
    <t xml:space="preserve">杉戸町（すぎとまち） </t>
  </si>
  <si>
    <t xml:space="preserve">草加市（そうかし） </t>
  </si>
  <si>
    <t xml:space="preserve">秩父市（ちちぶし） </t>
  </si>
  <si>
    <t xml:space="preserve">鶴ヶ島市（つるがしまし） </t>
  </si>
  <si>
    <t xml:space="preserve">ときがわ町（ときがわまち） </t>
  </si>
  <si>
    <t xml:space="preserve">所沢市（ところざわし） </t>
  </si>
  <si>
    <t xml:space="preserve">戸田市（とだし） </t>
  </si>
  <si>
    <t xml:space="preserve">長瀞町（ながとろまち） </t>
  </si>
  <si>
    <t xml:space="preserve">滑川町（なめがわまち） </t>
  </si>
  <si>
    <t xml:space="preserve">新座市（にいざし） </t>
  </si>
  <si>
    <t xml:space="preserve">蓮田市（はすだし） </t>
  </si>
  <si>
    <t xml:space="preserve">鳩山町（はとやままち） </t>
  </si>
  <si>
    <t xml:space="preserve">羽生市（はにゅうし） </t>
  </si>
  <si>
    <t xml:space="preserve">飯能市（はんのうし） </t>
  </si>
  <si>
    <t xml:space="preserve">東秩父村（ひがしちちぶむら） </t>
  </si>
  <si>
    <t xml:space="preserve">東松山市（ひがしまつやまし） </t>
  </si>
  <si>
    <t xml:space="preserve">日高市（ひだかし） </t>
  </si>
  <si>
    <t xml:space="preserve">深谷市（ふかやし） </t>
  </si>
  <si>
    <t xml:space="preserve">富士見市（ふじみし） </t>
  </si>
  <si>
    <t xml:space="preserve">ふじみ野市（ふじみのし） </t>
  </si>
  <si>
    <t xml:space="preserve">本庄市（ほんじょうし） </t>
  </si>
  <si>
    <t xml:space="preserve">松伏町（まつぶしまち） </t>
  </si>
  <si>
    <t xml:space="preserve">三郷市（みさとし） </t>
  </si>
  <si>
    <t xml:space="preserve">美里町（みさとまち） </t>
  </si>
  <si>
    <t xml:space="preserve">皆野町（みなのまち） </t>
  </si>
  <si>
    <t xml:space="preserve">宮代町（みやしろまち） </t>
  </si>
  <si>
    <t xml:space="preserve">三芳町（みよしまち） </t>
  </si>
  <si>
    <t xml:space="preserve">毛呂山町（もろやままち） </t>
  </si>
  <si>
    <t xml:space="preserve">八潮市（やしおし） </t>
  </si>
  <si>
    <t xml:space="preserve">横瀬町（よこぜまち） </t>
  </si>
  <si>
    <t xml:space="preserve">吉川市（よしかわし） </t>
  </si>
  <si>
    <t xml:space="preserve">吉見町（よしみまち） </t>
  </si>
  <si>
    <t xml:space="preserve">寄居町（よりいまち） </t>
  </si>
  <si>
    <t xml:space="preserve">嵐山町（らんざんまち） </t>
  </si>
  <si>
    <t xml:space="preserve">和光市（わこうし） </t>
  </si>
  <si>
    <t xml:space="preserve">蕨市（わらびし） </t>
  </si>
  <si>
    <t xml:space="preserve">上尾市 </t>
    <phoneticPr fontId="2"/>
  </si>
  <si>
    <t>朝霞市</t>
    <phoneticPr fontId="2"/>
  </si>
  <si>
    <t>伊奈町</t>
    <phoneticPr fontId="2"/>
  </si>
  <si>
    <t>入間市</t>
    <phoneticPr fontId="2"/>
  </si>
  <si>
    <t>小鹿野町</t>
    <phoneticPr fontId="2"/>
  </si>
  <si>
    <t>小川町</t>
    <phoneticPr fontId="2"/>
  </si>
  <si>
    <t>桶川市</t>
    <phoneticPr fontId="2"/>
  </si>
  <si>
    <t>越生町</t>
    <phoneticPr fontId="2"/>
  </si>
  <si>
    <t>春日部市</t>
    <phoneticPr fontId="2"/>
  </si>
  <si>
    <t>加須市</t>
    <phoneticPr fontId="2"/>
  </si>
  <si>
    <t>神川町</t>
    <phoneticPr fontId="2"/>
  </si>
  <si>
    <t>上里町</t>
    <phoneticPr fontId="2"/>
  </si>
  <si>
    <t>川口市</t>
    <phoneticPr fontId="2"/>
  </si>
  <si>
    <t>川越市</t>
    <phoneticPr fontId="2"/>
  </si>
  <si>
    <t>北本市</t>
    <phoneticPr fontId="2"/>
  </si>
  <si>
    <t>川島町</t>
    <phoneticPr fontId="2"/>
  </si>
  <si>
    <t>行田市</t>
    <phoneticPr fontId="2"/>
  </si>
  <si>
    <t>久喜市</t>
    <phoneticPr fontId="2"/>
  </si>
  <si>
    <t>熊谷市</t>
    <phoneticPr fontId="2"/>
  </si>
  <si>
    <t>鴻巣市</t>
    <phoneticPr fontId="2"/>
  </si>
  <si>
    <t>越谷市</t>
    <phoneticPr fontId="2"/>
  </si>
  <si>
    <t>さいたま市</t>
    <phoneticPr fontId="2"/>
  </si>
  <si>
    <t>坂戸市</t>
    <phoneticPr fontId="2"/>
  </si>
  <si>
    <t>幸手市</t>
    <phoneticPr fontId="2"/>
  </si>
  <si>
    <t>狭山市</t>
    <phoneticPr fontId="2"/>
  </si>
  <si>
    <t>志木市</t>
    <phoneticPr fontId="2"/>
  </si>
  <si>
    <t>白岡市</t>
    <phoneticPr fontId="2"/>
  </si>
  <si>
    <t>杉戸町</t>
    <phoneticPr fontId="2"/>
  </si>
  <si>
    <t>草加市</t>
    <phoneticPr fontId="2"/>
  </si>
  <si>
    <t>秩父市</t>
    <phoneticPr fontId="2"/>
  </si>
  <si>
    <t>鶴ヶ島市</t>
    <phoneticPr fontId="2"/>
  </si>
  <si>
    <t>ときがわ町</t>
    <phoneticPr fontId="2"/>
  </si>
  <si>
    <t>所沢市</t>
    <phoneticPr fontId="2"/>
  </si>
  <si>
    <t>戸田市</t>
    <phoneticPr fontId="2"/>
  </si>
  <si>
    <t>長瀞町</t>
    <phoneticPr fontId="2"/>
  </si>
  <si>
    <t>滑川町</t>
    <phoneticPr fontId="2"/>
  </si>
  <si>
    <t>新座市</t>
    <phoneticPr fontId="2"/>
  </si>
  <si>
    <t>蓮田市</t>
    <phoneticPr fontId="2"/>
  </si>
  <si>
    <t>鳩山町</t>
    <phoneticPr fontId="2"/>
  </si>
  <si>
    <t>羽生市</t>
    <phoneticPr fontId="2"/>
  </si>
  <si>
    <t>飯能市</t>
    <phoneticPr fontId="2"/>
  </si>
  <si>
    <t>東秩父村</t>
    <phoneticPr fontId="2"/>
  </si>
  <si>
    <t>東松山市</t>
    <phoneticPr fontId="2"/>
  </si>
  <si>
    <t>日高市</t>
    <phoneticPr fontId="2"/>
  </si>
  <si>
    <t>深谷市</t>
    <phoneticPr fontId="2"/>
  </si>
  <si>
    <t>富士見市</t>
    <phoneticPr fontId="2"/>
  </si>
  <si>
    <t>ふじみ野市</t>
    <phoneticPr fontId="2"/>
  </si>
  <si>
    <t>本庄市</t>
    <phoneticPr fontId="2"/>
  </si>
  <si>
    <t>松伏町</t>
    <phoneticPr fontId="2"/>
  </si>
  <si>
    <t>三郷市</t>
    <phoneticPr fontId="2"/>
  </si>
  <si>
    <t>美里町</t>
    <phoneticPr fontId="2"/>
  </si>
  <si>
    <t>皆野町</t>
    <phoneticPr fontId="2"/>
  </si>
  <si>
    <t>宮代町</t>
    <phoneticPr fontId="2"/>
  </si>
  <si>
    <t>三芳町</t>
    <phoneticPr fontId="2"/>
  </si>
  <si>
    <t>毛呂山町</t>
    <phoneticPr fontId="2"/>
  </si>
  <si>
    <t>八潮市</t>
    <phoneticPr fontId="2"/>
  </si>
  <si>
    <t>横瀬町</t>
    <phoneticPr fontId="2"/>
  </si>
  <si>
    <t>吉川市</t>
    <phoneticPr fontId="2"/>
  </si>
  <si>
    <t>吉見町</t>
    <phoneticPr fontId="2"/>
  </si>
  <si>
    <t>寄居町</t>
    <phoneticPr fontId="2"/>
  </si>
  <si>
    <t>嵐山町</t>
    <phoneticPr fontId="2"/>
  </si>
  <si>
    <t>和光市</t>
    <phoneticPr fontId="2"/>
  </si>
  <si>
    <t>蕨市</t>
    <phoneticPr fontId="2"/>
  </si>
  <si>
    <t>市町村名</t>
    <rPh sb="0" eb="3">
      <t>シチョウソン</t>
    </rPh>
    <rPh sb="3" eb="4">
      <t>メイ</t>
    </rPh>
    <phoneticPr fontId="2"/>
  </si>
  <si>
    <t>秩父市</t>
    <rPh sb="0" eb="2">
      <t>チチブ</t>
    </rPh>
    <rPh sb="2" eb="3">
      <t>シ</t>
    </rPh>
    <phoneticPr fontId="2"/>
  </si>
  <si>
    <t>気温観測点</t>
    <rPh sb="0" eb="2">
      <t>キオン</t>
    </rPh>
    <rPh sb="2" eb="5">
      <t>カンソクテン</t>
    </rPh>
    <phoneticPr fontId="2"/>
  </si>
  <si>
    <t>区域区分</t>
    <rPh sb="0" eb="2">
      <t>クイキ</t>
    </rPh>
    <rPh sb="2" eb="4">
      <t>クブン</t>
    </rPh>
    <phoneticPr fontId="2"/>
  </si>
  <si>
    <t>本計算シートの計算条件は以下の通りです。</t>
    <rPh sb="0" eb="1">
      <t>ホン</t>
    </rPh>
    <rPh sb="1" eb="3">
      <t>ケイサン</t>
    </rPh>
    <rPh sb="7" eb="9">
      <t>ケイサン</t>
    </rPh>
    <rPh sb="9" eb="11">
      <t>ジョウケン</t>
    </rPh>
    <rPh sb="12" eb="14">
      <t>イカ</t>
    </rPh>
    <rPh sb="15" eb="16">
      <t>トオ</t>
    </rPh>
    <phoneticPr fontId="2"/>
  </si>
  <si>
    <t>地域区分</t>
    <rPh sb="0" eb="2">
      <t>チイキ</t>
    </rPh>
    <rPh sb="2" eb="4">
      <t>クブン</t>
    </rPh>
    <phoneticPr fontId="2"/>
  </si>
  <si>
    <t>気温データ参照地点</t>
    <rPh sb="0" eb="2">
      <t>キオン</t>
    </rPh>
    <rPh sb="5" eb="7">
      <t>サンショウ</t>
    </rPh>
    <rPh sb="7" eb="9">
      <t>チテン</t>
    </rPh>
    <phoneticPr fontId="2"/>
  </si>
  <si>
    <t>事業実施者</t>
    <rPh sb="0" eb="2">
      <t>ジギョウ</t>
    </rPh>
    <rPh sb="2" eb="4">
      <t>ジッシ</t>
    </rPh>
    <rPh sb="4" eb="5">
      <t>シャ</t>
    </rPh>
    <phoneticPr fontId="22"/>
  </si>
  <si>
    <t>名称</t>
    <rPh sb="0" eb="2">
      <t>メイショウ</t>
    </rPh>
    <phoneticPr fontId="22"/>
  </si>
  <si>
    <t>代表者役職名</t>
    <rPh sb="0" eb="3">
      <t>ダイヒョウシャ</t>
    </rPh>
    <rPh sb="3" eb="5">
      <t>ヤクショク</t>
    </rPh>
    <rPh sb="5" eb="6">
      <t>メイ</t>
    </rPh>
    <phoneticPr fontId="22"/>
  </si>
  <si>
    <t>主たる事務所
の所在地</t>
    <rPh sb="0" eb="1">
      <t>シュ</t>
    </rPh>
    <rPh sb="3" eb="5">
      <t>ジム</t>
    </rPh>
    <rPh sb="5" eb="6">
      <t>ショ</t>
    </rPh>
    <rPh sb="8" eb="11">
      <t>ショザイチ</t>
    </rPh>
    <phoneticPr fontId="22"/>
  </si>
  <si>
    <t>常時使用する従業員数</t>
    <rPh sb="0" eb="2">
      <t>ジョウジ</t>
    </rPh>
    <rPh sb="2" eb="4">
      <t>シヨウ</t>
    </rPh>
    <rPh sb="6" eb="9">
      <t>ジュウギョウイン</t>
    </rPh>
    <rPh sb="9" eb="10">
      <t>スウ</t>
    </rPh>
    <phoneticPr fontId="22"/>
  </si>
  <si>
    <t>実施場所</t>
    <rPh sb="0" eb="2">
      <t>ジッシ</t>
    </rPh>
    <rPh sb="2" eb="4">
      <t>バショ</t>
    </rPh>
    <phoneticPr fontId="22"/>
  </si>
  <si>
    <t>事業所名称</t>
    <rPh sb="0" eb="3">
      <t>ジギョウショ</t>
    </rPh>
    <rPh sb="3" eb="5">
      <t>メイショウ</t>
    </rPh>
    <phoneticPr fontId="22"/>
  </si>
  <si>
    <t>事業所所在地</t>
    <rPh sb="0" eb="3">
      <t>ジギョウショ</t>
    </rPh>
    <rPh sb="3" eb="6">
      <t>ショザイチ</t>
    </rPh>
    <phoneticPr fontId="22"/>
  </si>
  <si>
    <t>連絡先</t>
    <rPh sb="0" eb="3">
      <t>レンラクサキ</t>
    </rPh>
    <phoneticPr fontId="22"/>
  </si>
  <si>
    <t>所属名</t>
    <rPh sb="0" eb="2">
      <t>ショゾク</t>
    </rPh>
    <rPh sb="2" eb="3">
      <t>ナ</t>
    </rPh>
    <phoneticPr fontId="22"/>
  </si>
  <si>
    <t>電話</t>
    <rPh sb="0" eb="2">
      <t>デンワ</t>
    </rPh>
    <phoneticPr fontId="22"/>
  </si>
  <si>
    <t>職　名</t>
    <rPh sb="0" eb="1">
      <t>ショク</t>
    </rPh>
    <rPh sb="2" eb="3">
      <t>ナ</t>
    </rPh>
    <phoneticPr fontId="22"/>
  </si>
  <si>
    <t>ＦＡＸ</t>
    <phoneticPr fontId="22"/>
  </si>
  <si>
    <t>氏　名</t>
    <rPh sb="0" eb="1">
      <t>シ</t>
    </rPh>
    <rPh sb="2" eb="3">
      <t>ナ</t>
    </rPh>
    <phoneticPr fontId="22"/>
  </si>
  <si>
    <t>メール</t>
    <phoneticPr fontId="22"/>
  </si>
  <si>
    <t>連絡先住所
（郵送先）</t>
    <rPh sb="0" eb="3">
      <t>レンラクサキ</t>
    </rPh>
    <rPh sb="3" eb="5">
      <t>ジュウショ</t>
    </rPh>
    <rPh sb="7" eb="9">
      <t>ユウソウ</t>
    </rPh>
    <rPh sb="9" eb="10">
      <t>サキ</t>
    </rPh>
    <phoneticPr fontId="22"/>
  </si>
  <si>
    <t xml:space="preserve">〒
</t>
    <phoneticPr fontId="22"/>
  </si>
  <si>
    <t>リース
事業者</t>
    <rPh sb="4" eb="7">
      <t>ジギョウシャ</t>
    </rPh>
    <phoneticPr fontId="22"/>
  </si>
  <si>
    <t>導入前</t>
    <rPh sb="0" eb="2">
      <t>ドウニュウ</t>
    </rPh>
    <rPh sb="2" eb="3">
      <t>マエ</t>
    </rPh>
    <phoneticPr fontId="22"/>
  </si>
  <si>
    <t>導入後</t>
    <rPh sb="0" eb="2">
      <t>ドウニュウ</t>
    </rPh>
    <rPh sb="2" eb="3">
      <t>ゴ</t>
    </rPh>
    <phoneticPr fontId="22"/>
  </si>
  <si>
    <r>
      <t>CO</t>
    </r>
    <r>
      <rPr>
        <vertAlign val="subscript"/>
        <sz val="10"/>
        <color indexed="8"/>
        <rFont val="ＭＳ Ｐゴシック"/>
        <family val="3"/>
        <charset val="128"/>
      </rPr>
      <t>2</t>
    </r>
    <r>
      <rPr>
        <sz val="10"/>
        <color indexed="8"/>
        <rFont val="ＭＳ Ｐゴシック"/>
        <family val="3"/>
        <charset val="128"/>
      </rPr>
      <t>排出削減予測量</t>
    </r>
    <rPh sb="3" eb="5">
      <t>ハイシュツ</t>
    </rPh>
    <rPh sb="5" eb="7">
      <t>サクゲン</t>
    </rPh>
    <rPh sb="7" eb="9">
      <t>ヨソク</t>
    </rPh>
    <rPh sb="9" eb="10">
      <t>リョウ</t>
    </rPh>
    <phoneticPr fontId="22"/>
  </si>
  <si>
    <r>
      <t>t-CO</t>
    </r>
    <r>
      <rPr>
        <vertAlign val="subscript"/>
        <sz val="10"/>
        <color indexed="8"/>
        <rFont val="ＭＳ Ｐゴシック"/>
        <family val="3"/>
        <charset val="128"/>
      </rPr>
      <t>2</t>
    </r>
    <r>
      <rPr>
        <sz val="10"/>
        <color indexed="8"/>
        <rFont val="ＭＳ Ｐゴシック"/>
        <family val="3"/>
        <charset val="128"/>
      </rPr>
      <t>/年</t>
    </r>
    <rPh sb="6" eb="7">
      <t>ネン</t>
    </rPh>
    <phoneticPr fontId="22"/>
  </si>
  <si>
    <t>導入前負荷量</t>
    <rPh sb="0" eb="2">
      <t>ドウニュウ</t>
    </rPh>
    <rPh sb="2" eb="3">
      <t>マエ</t>
    </rPh>
    <rPh sb="3" eb="5">
      <t>フカ</t>
    </rPh>
    <rPh sb="5" eb="6">
      <t>リョウ</t>
    </rPh>
    <phoneticPr fontId="2"/>
  </si>
  <si>
    <t>冷房負荷
量</t>
    <rPh sb="0" eb="2">
      <t>レイボウ</t>
    </rPh>
    <rPh sb="2" eb="4">
      <t>フカ</t>
    </rPh>
    <rPh sb="5" eb="6">
      <t>リョウ</t>
    </rPh>
    <phoneticPr fontId="2"/>
  </si>
  <si>
    <t>暖房負荷
量</t>
    <rPh sb="0" eb="2">
      <t>ダンボウ</t>
    </rPh>
    <rPh sb="2" eb="4">
      <t>フカ</t>
    </rPh>
    <rPh sb="5" eb="6">
      <t>リョウ</t>
    </rPh>
    <phoneticPr fontId="2"/>
  </si>
  <si>
    <t>推定年間冷房負荷量</t>
    <rPh sb="0" eb="2">
      <t>スイテイ</t>
    </rPh>
    <rPh sb="2" eb="4">
      <t>ネンカン</t>
    </rPh>
    <rPh sb="4" eb="6">
      <t>レイボウ</t>
    </rPh>
    <rPh sb="6" eb="8">
      <t>フカ</t>
    </rPh>
    <rPh sb="8" eb="9">
      <t>リョウ</t>
    </rPh>
    <phoneticPr fontId="2"/>
  </si>
  <si>
    <t>推定年間暖房負荷量</t>
    <rPh sb="0" eb="2">
      <t>スイテイ</t>
    </rPh>
    <rPh sb="2" eb="4">
      <t>ネンカン</t>
    </rPh>
    <rPh sb="4" eb="6">
      <t>ダンボウ</t>
    </rPh>
    <rPh sb="6" eb="8">
      <t>フカ</t>
    </rPh>
    <rPh sb="8" eb="9">
      <t>リョウ</t>
    </rPh>
    <phoneticPr fontId="2"/>
  </si>
  <si>
    <t>冷房時消費電力量</t>
    <rPh sb="0" eb="2">
      <t>レイボウ</t>
    </rPh>
    <rPh sb="2" eb="3">
      <t>ジ</t>
    </rPh>
    <rPh sb="3" eb="5">
      <t>ショウヒ</t>
    </rPh>
    <rPh sb="5" eb="7">
      <t>デンリョク</t>
    </rPh>
    <rPh sb="7" eb="8">
      <t>リョウ</t>
    </rPh>
    <phoneticPr fontId="2"/>
  </si>
  <si>
    <t>暖房時消費電力量</t>
    <rPh sb="0" eb="2">
      <t>ダンボウ</t>
    </rPh>
    <rPh sb="2" eb="3">
      <t>ジ</t>
    </rPh>
    <rPh sb="3" eb="5">
      <t>ショウヒ</t>
    </rPh>
    <rPh sb="5" eb="7">
      <t>デンリョク</t>
    </rPh>
    <rPh sb="7" eb="8">
      <t>リョウ</t>
    </rPh>
    <phoneticPr fontId="2"/>
  </si>
  <si>
    <t>空調消費電力量</t>
    <rPh sb="0" eb="2">
      <t>クウチョウ</t>
    </rPh>
    <rPh sb="2" eb="4">
      <t>ショウヒ</t>
    </rPh>
    <rPh sb="4" eb="6">
      <t>デンリョク</t>
    </rPh>
    <rPh sb="6" eb="7">
      <t>リョウ</t>
    </rPh>
    <phoneticPr fontId="2"/>
  </si>
  <si>
    <t>CO２量</t>
    <rPh sb="3" eb="4">
      <t>リョウ</t>
    </rPh>
    <phoneticPr fontId="2"/>
  </si>
  <si>
    <t>⑫年間空調消費電力量</t>
    <rPh sb="1" eb="3">
      <t>ネンカン</t>
    </rPh>
    <rPh sb="3" eb="5">
      <t>クウチョウ</t>
    </rPh>
    <rPh sb="5" eb="7">
      <t>ショウヒ</t>
    </rPh>
    <rPh sb="7" eb="9">
      <t>デンリョク</t>
    </rPh>
    <rPh sb="9" eb="10">
      <t>リョウ</t>
    </rPh>
    <phoneticPr fontId="2"/>
  </si>
  <si>
    <t>⑬年間CO2量</t>
    <rPh sb="1" eb="3">
      <t>ネンカン</t>
    </rPh>
    <rPh sb="6" eb="7">
      <t>ゲンリョウ</t>
    </rPh>
    <phoneticPr fontId="2"/>
  </si>
  <si>
    <t>導入後消費電力量</t>
    <rPh sb="0" eb="2">
      <t>ドウニュウ</t>
    </rPh>
    <rPh sb="2" eb="3">
      <t>ゴ</t>
    </rPh>
    <rPh sb="3" eb="5">
      <t>ショウヒ</t>
    </rPh>
    <rPh sb="5" eb="7">
      <t>デンリョク</t>
    </rPh>
    <rPh sb="7" eb="8">
      <t>リョウ</t>
    </rPh>
    <phoneticPr fontId="2"/>
  </si>
  <si>
    <t>導入後年間CO2量</t>
    <rPh sb="0" eb="2">
      <t>ドウニュウ</t>
    </rPh>
    <rPh sb="2" eb="3">
      <t>ゴ</t>
    </rPh>
    <rPh sb="3" eb="5">
      <t>ネンカン</t>
    </rPh>
    <rPh sb="8" eb="9">
      <t>リョウ</t>
    </rPh>
    <phoneticPr fontId="2"/>
  </si>
  <si>
    <t>区　　分</t>
    <rPh sb="0" eb="1">
      <t>ク</t>
    </rPh>
    <rPh sb="3" eb="4">
      <t>フン</t>
    </rPh>
    <phoneticPr fontId="22"/>
  </si>
  <si>
    <t>工事費</t>
    <rPh sb="0" eb="3">
      <t>コウジヒ</t>
    </rPh>
    <phoneticPr fontId="22"/>
  </si>
  <si>
    <t>合計</t>
    <rPh sb="0" eb="2">
      <t>ゴウケイ</t>
    </rPh>
    <phoneticPr fontId="22"/>
  </si>
  <si>
    <t>単価</t>
    <rPh sb="0" eb="2">
      <t>タンカ</t>
    </rPh>
    <phoneticPr fontId="22"/>
  </si>
  <si>
    <t>数量</t>
    <rPh sb="0" eb="2">
      <t>スウリョウ</t>
    </rPh>
    <phoneticPr fontId="22"/>
  </si>
  <si>
    <t>計</t>
    <rPh sb="0" eb="1">
      <t>ケイ</t>
    </rPh>
    <phoneticPr fontId="22"/>
  </si>
  <si>
    <t>補助対象経費</t>
    <rPh sb="0" eb="2">
      <t>ホジョ</t>
    </rPh>
    <rPh sb="2" eb="4">
      <t>タイショウ</t>
    </rPh>
    <rPh sb="4" eb="6">
      <t>ケイヒ</t>
    </rPh>
    <phoneticPr fontId="22"/>
  </si>
  <si>
    <t>消費税及び地方消費税額</t>
    <rPh sb="0" eb="3">
      <t>ショウヒゼイ</t>
    </rPh>
    <rPh sb="3" eb="4">
      <t>オヨ</t>
    </rPh>
    <rPh sb="5" eb="7">
      <t>チホウ</t>
    </rPh>
    <rPh sb="7" eb="10">
      <t>ショウヒゼイ</t>
    </rPh>
    <rPh sb="10" eb="11">
      <t>ガク</t>
    </rPh>
    <phoneticPr fontId="22"/>
  </si>
  <si>
    <t>総事業費</t>
    <rPh sb="0" eb="4">
      <t>ソウジギョウヒ</t>
    </rPh>
    <phoneticPr fontId="22"/>
  </si>
  <si>
    <t>×</t>
    <phoneticPr fontId="22"/>
  </si>
  <si>
    <t>＝</t>
    <phoneticPr fontId="22"/>
  </si>
  <si>
    <t>日射熱吸収率</t>
    <rPh sb="0" eb="2">
      <t>ニッシャ</t>
    </rPh>
    <rPh sb="2" eb="3">
      <t>ネツ</t>
    </rPh>
    <rPh sb="3" eb="5">
      <t>キュウシュウ</t>
    </rPh>
    <rPh sb="5" eb="6">
      <t>リツ</t>
    </rPh>
    <phoneticPr fontId="2"/>
  </si>
  <si>
    <t>③窓対策による熱貫流率と日射熱吸収率の値</t>
    <rPh sb="1" eb="2">
      <t>マド</t>
    </rPh>
    <rPh sb="2" eb="4">
      <t>タイサク</t>
    </rPh>
    <rPh sb="7" eb="8">
      <t>ネツ</t>
    </rPh>
    <rPh sb="8" eb="10">
      <t>カンリュウ</t>
    </rPh>
    <rPh sb="10" eb="11">
      <t>リツ</t>
    </rPh>
    <rPh sb="12" eb="14">
      <t>ニッシャ</t>
    </rPh>
    <rPh sb="14" eb="15">
      <t>ネツ</t>
    </rPh>
    <rPh sb="15" eb="17">
      <t>キュウシュウ</t>
    </rPh>
    <rPh sb="17" eb="18">
      <t>リツ</t>
    </rPh>
    <rPh sb="19" eb="20">
      <t>アタイ</t>
    </rPh>
    <phoneticPr fontId="2"/>
  </si>
  <si>
    <t>表－７　暑さ対策による窓の熱貫流率と日射熱吸収率の選定表</t>
    <rPh sb="0" eb="1">
      <t>ヒョウ</t>
    </rPh>
    <rPh sb="4" eb="5">
      <t>アツ</t>
    </rPh>
    <rPh sb="6" eb="8">
      <t>タイサク</t>
    </rPh>
    <rPh sb="11" eb="12">
      <t>マド</t>
    </rPh>
    <rPh sb="13" eb="14">
      <t>ネツ</t>
    </rPh>
    <rPh sb="14" eb="16">
      <t>カンリュウ</t>
    </rPh>
    <rPh sb="16" eb="17">
      <t>リツ</t>
    </rPh>
    <rPh sb="18" eb="20">
      <t>ニッシャ</t>
    </rPh>
    <rPh sb="20" eb="21">
      <t>ネツ</t>
    </rPh>
    <rPh sb="21" eb="23">
      <t>キュウシュウ</t>
    </rPh>
    <rPh sb="23" eb="24">
      <t>リツ</t>
    </rPh>
    <rPh sb="25" eb="27">
      <t>センテイ</t>
    </rPh>
    <rPh sb="27" eb="28">
      <t>ヒョウ</t>
    </rPh>
    <phoneticPr fontId="2"/>
  </si>
  <si>
    <t>表－８　暑さ対策による窓の熱貫流率と日射熱吸収率の入力表</t>
    <rPh sb="0" eb="1">
      <t>ヒョウ</t>
    </rPh>
    <rPh sb="4" eb="5">
      <t>アツ</t>
    </rPh>
    <rPh sb="6" eb="8">
      <t>タイサク</t>
    </rPh>
    <rPh sb="18" eb="20">
      <t>ニッシャ</t>
    </rPh>
    <rPh sb="20" eb="21">
      <t>ネツ</t>
    </rPh>
    <rPh sb="21" eb="23">
      <t>キュウシュウ</t>
    </rPh>
    <rPh sb="23" eb="24">
      <t>リツ</t>
    </rPh>
    <rPh sb="25" eb="27">
      <t>ニュウリョク</t>
    </rPh>
    <phoneticPr fontId="2"/>
  </si>
  <si>
    <t>表－５　暑さ対策による外壁の熱貫流率入力表</t>
    <rPh sb="0" eb="1">
      <t>ヒョウ</t>
    </rPh>
    <rPh sb="4" eb="5">
      <t>アツ</t>
    </rPh>
    <rPh sb="6" eb="8">
      <t>タイサク</t>
    </rPh>
    <rPh sb="11" eb="13">
      <t>ガイヘキ</t>
    </rPh>
    <rPh sb="14" eb="15">
      <t>ネツ</t>
    </rPh>
    <rPh sb="15" eb="17">
      <t>カンリュウ</t>
    </rPh>
    <rPh sb="17" eb="18">
      <t>リツ</t>
    </rPh>
    <rPh sb="18" eb="20">
      <t>ニュウリョク</t>
    </rPh>
    <rPh sb="20" eb="21">
      <t>ヒョウ</t>
    </rPh>
    <phoneticPr fontId="2"/>
  </si>
  <si>
    <t>表－３　暑さ対策による屋根の熱貫流率入力表</t>
    <rPh sb="0" eb="1">
      <t>ヒョウ</t>
    </rPh>
    <rPh sb="4" eb="5">
      <t>アツ</t>
    </rPh>
    <rPh sb="6" eb="8">
      <t>タイサク</t>
    </rPh>
    <rPh sb="11" eb="13">
      <t>ヤネ</t>
    </rPh>
    <rPh sb="14" eb="15">
      <t>ネツ</t>
    </rPh>
    <rPh sb="15" eb="17">
      <t>カンリュウ</t>
    </rPh>
    <rPh sb="17" eb="18">
      <t>リツ</t>
    </rPh>
    <rPh sb="18" eb="20">
      <t>ニュウリョク</t>
    </rPh>
    <rPh sb="20" eb="21">
      <t>ヒョウ</t>
    </rPh>
    <phoneticPr fontId="2"/>
  </si>
  <si>
    <t>表－４　暑さ対策による屋根の日射熱吸収率入力表</t>
    <rPh sb="0" eb="1">
      <t>ヒョウ</t>
    </rPh>
    <rPh sb="4" eb="5">
      <t>アツ</t>
    </rPh>
    <rPh sb="6" eb="8">
      <t>タイサク</t>
    </rPh>
    <rPh sb="11" eb="13">
      <t>ヤネ</t>
    </rPh>
    <rPh sb="14" eb="16">
      <t>ニッシャ</t>
    </rPh>
    <rPh sb="16" eb="17">
      <t>ネツ</t>
    </rPh>
    <rPh sb="17" eb="19">
      <t>キュウシュウ</t>
    </rPh>
    <rPh sb="19" eb="20">
      <t>リツ</t>
    </rPh>
    <rPh sb="20" eb="22">
      <t>ニュウリョク</t>
    </rPh>
    <rPh sb="22" eb="23">
      <t>ヒョウ</t>
    </rPh>
    <phoneticPr fontId="2"/>
  </si>
  <si>
    <t>表－６　暑さ対策による外壁の熱貫流率入力表</t>
    <rPh sb="0" eb="1">
      <t>ヒョウ</t>
    </rPh>
    <rPh sb="4" eb="5">
      <t>アツ</t>
    </rPh>
    <rPh sb="6" eb="8">
      <t>タイサク</t>
    </rPh>
    <rPh sb="11" eb="13">
      <t>ガイヘキ</t>
    </rPh>
    <rPh sb="14" eb="15">
      <t>ネツ</t>
    </rPh>
    <rPh sb="15" eb="17">
      <t>カンリュウ</t>
    </rPh>
    <rPh sb="17" eb="18">
      <t>リツ</t>
    </rPh>
    <rPh sb="18" eb="20">
      <t>ニュウリョク</t>
    </rPh>
    <rPh sb="20" eb="21">
      <t>ヒョウ</t>
    </rPh>
    <phoneticPr fontId="2"/>
  </si>
  <si>
    <t>対策後の熱性能（熱貫流率、日射熱吸収率）</t>
    <rPh sb="0" eb="2">
      <t>タイサク</t>
    </rPh>
    <rPh sb="2" eb="3">
      <t>ゴ</t>
    </rPh>
    <rPh sb="4" eb="5">
      <t>ネツ</t>
    </rPh>
    <rPh sb="5" eb="7">
      <t>セイノウ</t>
    </rPh>
    <rPh sb="8" eb="9">
      <t>ネツ</t>
    </rPh>
    <rPh sb="9" eb="11">
      <t>カンリュウ</t>
    </rPh>
    <rPh sb="11" eb="12">
      <t>リツ</t>
    </rPh>
    <rPh sb="13" eb="15">
      <t>ニッシャ</t>
    </rPh>
    <rPh sb="15" eb="16">
      <t>ネツ</t>
    </rPh>
    <rPh sb="16" eb="18">
      <t>キュウシュウ</t>
    </rPh>
    <rPh sb="18" eb="19">
      <t>リツ</t>
    </rPh>
    <phoneticPr fontId="2"/>
  </si>
  <si>
    <t>日射熱吸収率が”0.3”に変更する場合</t>
    <rPh sb="0" eb="2">
      <t>ニッシャ</t>
    </rPh>
    <rPh sb="2" eb="3">
      <t>ネツ</t>
    </rPh>
    <rPh sb="3" eb="5">
      <t>キュウシュウ</t>
    </rPh>
    <rPh sb="5" eb="6">
      <t>リツ</t>
    </rPh>
    <rPh sb="13" eb="15">
      <t>ヘンコウ</t>
    </rPh>
    <rPh sb="17" eb="19">
      <t>バアイ</t>
    </rPh>
    <phoneticPr fontId="2"/>
  </si>
  <si>
    <t>窓ガラス日射熱吸収率</t>
    <rPh sb="0" eb="1">
      <t>マド</t>
    </rPh>
    <rPh sb="4" eb="6">
      <t>ニッシャ</t>
    </rPh>
    <rPh sb="6" eb="7">
      <t>ネツ</t>
    </rPh>
    <rPh sb="7" eb="9">
      <t>キュウシュウ</t>
    </rPh>
    <rPh sb="9" eb="10">
      <t>リツ</t>
    </rPh>
    <phoneticPr fontId="2"/>
  </si>
  <si>
    <t>ガラスの取得日射量補正係数(fc)</t>
    <rPh sb="4" eb="6">
      <t>シュトク</t>
    </rPh>
    <rPh sb="6" eb="8">
      <t>ニッシャ</t>
    </rPh>
    <rPh sb="8" eb="9">
      <t>リョウ</t>
    </rPh>
    <rPh sb="9" eb="11">
      <t>ホセイ</t>
    </rPh>
    <rPh sb="11" eb="13">
      <t>ケイスウ</t>
    </rPh>
    <phoneticPr fontId="2"/>
  </si>
  <si>
    <t>補正係数fc</t>
    <rPh sb="0" eb="2">
      <t>ホセイ</t>
    </rPh>
    <rPh sb="2" eb="4">
      <t>ケイスウ</t>
    </rPh>
    <phoneticPr fontId="2"/>
  </si>
  <si>
    <t>対策前の窓ガラスの諸性能は、3mm透明</t>
    <rPh sb="0" eb="2">
      <t>タイサク</t>
    </rPh>
    <rPh sb="2" eb="3">
      <t>マエ</t>
    </rPh>
    <rPh sb="4" eb="5">
      <t>マド</t>
    </rPh>
    <rPh sb="9" eb="10">
      <t>ショ</t>
    </rPh>
    <rPh sb="10" eb="12">
      <t>セイノウ</t>
    </rPh>
    <rPh sb="17" eb="19">
      <t>トウメイ</t>
    </rPh>
    <phoneticPr fontId="2"/>
  </si>
  <si>
    <t>ガラスとする。（建築研究所　モデル建物法におけるガラス種類の選択肢よりP36引用）</t>
    <rPh sb="8" eb="10">
      <t>ケンチク</t>
    </rPh>
    <rPh sb="10" eb="13">
      <t>ケンキュウショ</t>
    </rPh>
    <rPh sb="17" eb="19">
      <t>タテモノ</t>
    </rPh>
    <rPh sb="19" eb="20">
      <t>ホウ</t>
    </rPh>
    <rPh sb="27" eb="29">
      <t>シュルイ</t>
    </rPh>
    <rPh sb="30" eb="33">
      <t>センタクシ</t>
    </rPh>
    <rPh sb="38" eb="40">
      <t>インヨウ</t>
    </rPh>
    <phoneticPr fontId="2"/>
  </si>
  <si>
    <t>②複層(空気層6mm)Low-E(遮蔽)6t＋透明6t</t>
    <rPh sb="1" eb="3">
      <t>フクソウ</t>
    </rPh>
    <rPh sb="4" eb="6">
      <t>クウキ</t>
    </rPh>
    <rPh sb="6" eb="7">
      <t>ソウ</t>
    </rPh>
    <rPh sb="17" eb="19">
      <t>シャヘイ</t>
    </rPh>
    <rPh sb="23" eb="25">
      <t>トウメイ</t>
    </rPh>
    <phoneticPr fontId="2"/>
  </si>
  <si>
    <t>①単層高性能熱線反射(6t)</t>
    <rPh sb="1" eb="3">
      <t>タンソウ</t>
    </rPh>
    <rPh sb="3" eb="6">
      <t>コウセイノウ</t>
    </rPh>
    <rPh sb="6" eb="7">
      <t>ネツ</t>
    </rPh>
    <rPh sb="7" eb="8">
      <t>セン</t>
    </rPh>
    <rPh sb="8" eb="10">
      <t>ハンシャ</t>
    </rPh>
    <phoneticPr fontId="2"/>
  </si>
  <si>
    <t>③複層(空気層12mm)Low-E(遮蔽)6t＋透明6t</t>
    <rPh sb="1" eb="3">
      <t>フクソウ</t>
    </rPh>
    <rPh sb="4" eb="6">
      <t>クウキ</t>
    </rPh>
    <rPh sb="6" eb="7">
      <t>ソウ</t>
    </rPh>
    <rPh sb="18" eb="20">
      <t>シャヘイ</t>
    </rPh>
    <rPh sb="24" eb="26">
      <t>トウメイ</t>
    </rPh>
    <phoneticPr fontId="2"/>
  </si>
  <si>
    <t>熱貫流率が”3”に、日射熱吸収率が0.8に</t>
    <rPh sb="0" eb="1">
      <t>ネツ</t>
    </rPh>
    <rPh sb="1" eb="3">
      <t>カンリュウ</t>
    </rPh>
    <rPh sb="3" eb="4">
      <t>リツ</t>
    </rPh>
    <rPh sb="10" eb="12">
      <t>ニッシャ</t>
    </rPh>
    <rPh sb="12" eb="13">
      <t>ネツ</t>
    </rPh>
    <rPh sb="13" eb="15">
      <t>キュウシュウ</t>
    </rPh>
    <rPh sb="15" eb="16">
      <t>リツ</t>
    </rPh>
    <phoneticPr fontId="2"/>
  </si>
  <si>
    <t>※施工設備等をリースで調達する場合のみ記載してください。</t>
    <rPh sb="1" eb="3">
      <t>セコウ</t>
    </rPh>
    <rPh sb="3" eb="5">
      <t>セツビ</t>
    </rPh>
    <rPh sb="5" eb="6">
      <t>トウ</t>
    </rPh>
    <rPh sb="11" eb="13">
      <t>チョウタツ</t>
    </rPh>
    <rPh sb="15" eb="17">
      <t>バアイ</t>
    </rPh>
    <rPh sb="19" eb="21">
      <t>キサイ</t>
    </rPh>
    <phoneticPr fontId="22"/>
  </si>
  <si>
    <t>⑪＝
⑦÷⑨</t>
    <phoneticPr fontId="2"/>
  </si>
  <si>
    <t>⑩＝
⑥÷⑧</t>
    <phoneticPr fontId="2"/>
  </si>
  <si>
    <t>GJ</t>
    <phoneticPr fontId="22"/>
  </si>
  <si>
    <t>kL/GJ</t>
    <phoneticPr fontId="22"/>
  </si>
  <si>
    <t>kL</t>
    <phoneticPr fontId="22"/>
  </si>
  <si>
    <t>GJ/kL</t>
    <phoneticPr fontId="22"/>
  </si>
  <si>
    <t>t</t>
    <phoneticPr fontId="22"/>
  </si>
  <si>
    <t>GJ/t</t>
    <phoneticPr fontId="22"/>
  </si>
  <si>
    <t>（単位：円）</t>
    <rPh sb="1" eb="3">
      <t>タンイ</t>
    </rPh>
    <rPh sb="4" eb="5">
      <t>エン</t>
    </rPh>
    <phoneticPr fontId="22"/>
  </si>
  <si>
    <t>設備費・材料費</t>
    <rPh sb="0" eb="2">
      <t>セツビ</t>
    </rPh>
    <rPh sb="2" eb="3">
      <t>ヒ</t>
    </rPh>
    <rPh sb="4" eb="7">
      <t>ザイリョウヒ</t>
    </rPh>
    <phoneticPr fontId="22"/>
  </si>
  <si>
    <t>日本産業規格(JIS)</t>
    <rPh sb="0" eb="2">
      <t>ニホン</t>
    </rPh>
    <rPh sb="2" eb="4">
      <t>サンギョウ</t>
    </rPh>
    <rPh sb="4" eb="6">
      <t>キカク</t>
    </rPh>
    <phoneticPr fontId="2"/>
  </si>
  <si>
    <t>環境省の環境技術実証事業(ETV)</t>
    <rPh sb="0" eb="2">
      <t>カンキョウ</t>
    </rPh>
    <rPh sb="2" eb="3">
      <t>ショウ</t>
    </rPh>
    <rPh sb="4" eb="6">
      <t>カンキョウ</t>
    </rPh>
    <rPh sb="6" eb="8">
      <t>ギジュツ</t>
    </rPh>
    <rPh sb="8" eb="10">
      <t>ジッショウ</t>
    </rPh>
    <rPh sb="10" eb="12">
      <t>ジギョウ</t>
    </rPh>
    <phoneticPr fontId="2"/>
  </si>
  <si>
    <t>国立研究開発法人建築研究所</t>
    <rPh sb="0" eb="2">
      <t>コクリツ</t>
    </rPh>
    <rPh sb="2" eb="4">
      <t>ケンキュウ</t>
    </rPh>
    <rPh sb="4" eb="6">
      <t>カイハツ</t>
    </rPh>
    <rPh sb="6" eb="8">
      <t>ホウジン</t>
    </rPh>
    <rPh sb="8" eb="10">
      <t>ケンチク</t>
    </rPh>
    <rPh sb="10" eb="13">
      <t>ケンキュウショ</t>
    </rPh>
    <phoneticPr fontId="2"/>
  </si>
  <si>
    <t>年</t>
    <rPh sb="0" eb="1">
      <t>ネン</t>
    </rPh>
    <phoneticPr fontId="2"/>
  </si>
  <si>
    <t>規格名、実証番号</t>
    <rPh sb="0" eb="2">
      <t>キカク</t>
    </rPh>
    <rPh sb="2" eb="3">
      <t>メイ</t>
    </rPh>
    <rPh sb="4" eb="6">
      <t>ジッショウ</t>
    </rPh>
    <rPh sb="6" eb="8">
      <t>バンゴウ</t>
    </rPh>
    <phoneticPr fontId="2"/>
  </si>
  <si>
    <t>数値</t>
    <rPh sb="0" eb="2">
      <t>スウチ</t>
    </rPh>
    <phoneticPr fontId="2"/>
  </si>
  <si>
    <t>区分</t>
    <rPh sb="0" eb="2">
      <t>クブン</t>
    </rPh>
    <phoneticPr fontId="2"/>
  </si>
  <si>
    <t>日射熱取得率</t>
    <rPh sb="0" eb="2">
      <t>ニッシャ</t>
    </rPh>
    <rPh sb="2" eb="3">
      <t>ネツ</t>
    </rPh>
    <rPh sb="3" eb="6">
      <t>シュトクリツ</t>
    </rPh>
    <phoneticPr fontId="2"/>
  </si>
  <si>
    <t>規格</t>
    <rPh sb="0" eb="2">
      <t>キカク</t>
    </rPh>
    <phoneticPr fontId="2"/>
  </si>
  <si>
    <t>該当</t>
    <rPh sb="0" eb="2">
      <t>ガイトウ</t>
    </rPh>
    <phoneticPr fontId="2"/>
  </si>
  <si>
    <r>
      <rPr>
        <sz val="11"/>
        <rFont val="ＭＳ Ｐゴシック"/>
        <family val="3"/>
        <charset val="128"/>
      </rPr>
      <t>セル内に必要事項を記入します。セル枠線外には記入できません。注意事項に留意して作成してください。</t>
    </r>
    <rPh sb="2" eb="3">
      <t>ナイ</t>
    </rPh>
    <rPh sb="4" eb="6">
      <t>ヒツヨウ</t>
    </rPh>
    <rPh sb="6" eb="8">
      <t>ジコウ</t>
    </rPh>
    <rPh sb="9" eb="11">
      <t>キニュウ</t>
    </rPh>
    <rPh sb="17" eb="18">
      <t>ワク</t>
    </rPh>
    <rPh sb="18" eb="19">
      <t>セン</t>
    </rPh>
    <rPh sb="19" eb="20">
      <t>ガイ</t>
    </rPh>
    <rPh sb="22" eb="24">
      <t>キニュウ</t>
    </rPh>
    <rPh sb="30" eb="32">
      <t>チュウイ</t>
    </rPh>
    <rPh sb="32" eb="34">
      <t>ジコウ</t>
    </rPh>
    <rPh sb="35" eb="37">
      <t>リュウイ</t>
    </rPh>
    <rPh sb="39" eb="41">
      <t>サクセイ</t>
    </rPh>
    <phoneticPr fontId="2"/>
  </si>
  <si>
    <r>
      <rPr>
        <b/>
        <sz val="14"/>
        <color theme="1"/>
        <rFont val="ＭＳ Ｐゴシック"/>
        <family val="3"/>
        <charset val="128"/>
      </rPr>
      <t>Ⅰ．事業所概要</t>
    </r>
    <rPh sb="2" eb="4">
      <t>ジギョウ</t>
    </rPh>
    <rPh sb="4" eb="5">
      <t>ショ</t>
    </rPh>
    <rPh sb="5" eb="7">
      <t>ガイヨウ</t>
    </rPh>
    <phoneticPr fontId="2"/>
  </si>
  <si>
    <r>
      <rPr>
        <sz val="11"/>
        <rFont val="ＭＳ Ｐゴシック"/>
        <family val="3"/>
        <charset val="128"/>
      </rPr>
      <t>作成日</t>
    </r>
    <rPh sb="0" eb="2">
      <t>サクセイ</t>
    </rPh>
    <rPh sb="2" eb="3">
      <t>イリヒ</t>
    </rPh>
    <phoneticPr fontId="2"/>
  </si>
  <si>
    <r>
      <rPr>
        <sz val="11"/>
        <rFont val="ＭＳ Ｐゴシック"/>
        <family val="3"/>
        <charset val="128"/>
      </rPr>
      <t>埼玉県</t>
    </r>
    <rPh sb="0" eb="3">
      <t>サイタマケン</t>
    </rPh>
    <phoneticPr fontId="2"/>
  </si>
  <si>
    <r>
      <rPr>
        <b/>
        <sz val="11"/>
        <rFont val="ＭＳ Ｐゴシック"/>
        <family val="3"/>
        <charset val="128"/>
      </rPr>
      <t>事業名</t>
    </r>
    <rPh sb="0" eb="2">
      <t>ジギョウ</t>
    </rPh>
    <rPh sb="2" eb="3">
      <t>メイ</t>
    </rPh>
    <phoneticPr fontId="2"/>
  </si>
  <si>
    <r>
      <rPr>
        <b/>
        <sz val="11"/>
        <rFont val="ＭＳ Ｐゴシック"/>
        <family val="3"/>
        <charset val="128"/>
      </rPr>
      <t>施工事業者名</t>
    </r>
    <rPh sb="0" eb="2">
      <t>セコウ</t>
    </rPh>
    <rPh sb="2" eb="4">
      <t>ジギョウ</t>
    </rPh>
    <rPh sb="4" eb="5">
      <t>シャ</t>
    </rPh>
    <rPh sb="5" eb="6">
      <t>メイ</t>
    </rPh>
    <phoneticPr fontId="2"/>
  </si>
  <si>
    <r>
      <rPr>
        <b/>
        <sz val="11"/>
        <color theme="1"/>
        <rFont val="ＭＳ Ｐゴシック"/>
        <family val="3"/>
        <charset val="128"/>
      </rPr>
      <t>当該建物の年間消費電力</t>
    </r>
    <rPh sb="0" eb="2">
      <t>トウガイ</t>
    </rPh>
    <rPh sb="2" eb="4">
      <t>タテモノ</t>
    </rPh>
    <rPh sb="5" eb="7">
      <t>ネンカン</t>
    </rPh>
    <rPh sb="7" eb="9">
      <t>ショウヒ</t>
    </rPh>
    <rPh sb="9" eb="11">
      <t>デンリョク</t>
    </rPh>
    <phoneticPr fontId="2"/>
  </si>
  <si>
    <r>
      <rPr>
        <sz val="11"/>
        <color theme="1"/>
        <rFont val="ＭＳ Ｐゴシック"/>
        <family val="2"/>
      </rPr>
      <t>１年間の電気メーターの積算値（電力会社の伝票の１年分の</t>
    </r>
    <r>
      <rPr>
        <sz val="11"/>
        <color theme="1"/>
        <rFont val="Arial"/>
        <family val="2"/>
      </rPr>
      <t>kWh</t>
    </r>
    <r>
      <rPr>
        <sz val="11"/>
        <color theme="1"/>
        <rFont val="ＭＳ Ｐゴシック"/>
        <family val="2"/>
      </rPr>
      <t>の値）</t>
    </r>
    <rPh sb="1" eb="3">
      <t>ネンカン</t>
    </rPh>
    <rPh sb="4" eb="6">
      <t>デンキ</t>
    </rPh>
    <rPh sb="11" eb="13">
      <t>セキサン</t>
    </rPh>
    <rPh sb="13" eb="14">
      <t>アタイ</t>
    </rPh>
    <rPh sb="15" eb="17">
      <t>デンリョク</t>
    </rPh>
    <rPh sb="17" eb="19">
      <t>カイシャ</t>
    </rPh>
    <rPh sb="20" eb="22">
      <t>デンピョウ</t>
    </rPh>
    <rPh sb="24" eb="26">
      <t>ネンブン</t>
    </rPh>
    <rPh sb="31" eb="32">
      <t>アタイ</t>
    </rPh>
    <phoneticPr fontId="2"/>
  </si>
  <si>
    <r>
      <rPr>
        <sz val="11"/>
        <color theme="1"/>
        <rFont val="ＭＳ Ｐゴシック"/>
        <family val="2"/>
      </rPr>
      <t>年間消費電力</t>
    </r>
    <rPh sb="0" eb="2">
      <t>ネンカン</t>
    </rPh>
    <rPh sb="2" eb="4">
      <t>ショウヒ</t>
    </rPh>
    <rPh sb="4" eb="6">
      <t>デンリョク</t>
    </rPh>
    <phoneticPr fontId="2"/>
  </si>
  <si>
    <r>
      <t>kWh/</t>
    </r>
    <r>
      <rPr>
        <sz val="11"/>
        <color theme="1"/>
        <rFont val="ＭＳ Ｐゴシック"/>
        <family val="2"/>
      </rPr>
      <t>年</t>
    </r>
    <rPh sb="4" eb="5">
      <t>ネン</t>
    </rPh>
    <phoneticPr fontId="2"/>
  </si>
  <si>
    <r>
      <rPr>
        <b/>
        <sz val="11"/>
        <color theme="1"/>
        <rFont val="ＭＳ Ｐゴシック"/>
        <family val="3"/>
        <charset val="128"/>
      </rPr>
      <t>既存空調設備の冷熱源の</t>
    </r>
    <r>
      <rPr>
        <b/>
        <sz val="11"/>
        <color theme="1"/>
        <rFont val="Arial"/>
        <family val="2"/>
      </rPr>
      <t>COP</t>
    </r>
    <r>
      <rPr>
        <b/>
        <sz val="11"/>
        <color theme="1"/>
        <rFont val="ＭＳ Ｐゴシック"/>
        <family val="3"/>
        <charset val="128"/>
      </rPr>
      <t>（成績係数）</t>
    </r>
    <rPh sb="0" eb="2">
      <t>キゾン</t>
    </rPh>
    <rPh sb="2" eb="4">
      <t>クウチョウ</t>
    </rPh>
    <rPh sb="4" eb="6">
      <t>セツビ</t>
    </rPh>
    <rPh sb="7" eb="8">
      <t>レイ</t>
    </rPh>
    <rPh sb="8" eb="10">
      <t>ネツゲン</t>
    </rPh>
    <rPh sb="15" eb="17">
      <t>セイセキ</t>
    </rPh>
    <rPh sb="17" eb="19">
      <t>ケイスウ</t>
    </rPh>
    <phoneticPr fontId="2"/>
  </si>
  <si>
    <r>
      <rPr>
        <sz val="11"/>
        <color theme="1"/>
        <rFont val="ＭＳ Ｐゴシック"/>
        <family val="2"/>
      </rPr>
      <t>熱量効果計算における、既存冷熱源の</t>
    </r>
    <r>
      <rPr>
        <sz val="11"/>
        <color theme="1"/>
        <rFont val="Arial"/>
        <family val="2"/>
      </rPr>
      <t>COP</t>
    </r>
    <r>
      <rPr>
        <sz val="11"/>
        <color theme="1"/>
        <rFont val="ＭＳ Ｐゴシック"/>
        <family val="2"/>
      </rPr>
      <t>値は以下の一定値を使用する。</t>
    </r>
    <rPh sb="0" eb="2">
      <t>ネツリョウ</t>
    </rPh>
    <rPh sb="2" eb="4">
      <t>コウカ</t>
    </rPh>
    <rPh sb="4" eb="6">
      <t>ケイサン</t>
    </rPh>
    <rPh sb="11" eb="13">
      <t>キゾン</t>
    </rPh>
    <rPh sb="13" eb="14">
      <t>レイ</t>
    </rPh>
    <rPh sb="14" eb="16">
      <t>ネツゲン</t>
    </rPh>
    <rPh sb="20" eb="21">
      <t>チ</t>
    </rPh>
    <rPh sb="22" eb="24">
      <t>イカ</t>
    </rPh>
    <rPh sb="25" eb="27">
      <t>イッテイ</t>
    </rPh>
    <rPh sb="27" eb="28">
      <t>チ</t>
    </rPh>
    <rPh sb="29" eb="31">
      <t>シヨウ</t>
    </rPh>
    <phoneticPr fontId="2"/>
  </si>
  <si>
    <r>
      <rPr>
        <sz val="11"/>
        <rFont val="ＭＳ Ｐゴシック"/>
        <family val="3"/>
        <charset val="128"/>
      </rPr>
      <t>本ファイルの効果計算ではＣＯＰ値の変更はできない。</t>
    </r>
    <rPh sb="0" eb="1">
      <t>ホン</t>
    </rPh>
    <rPh sb="6" eb="8">
      <t>コウカ</t>
    </rPh>
    <rPh sb="8" eb="10">
      <t>ケイサン</t>
    </rPh>
    <rPh sb="15" eb="16">
      <t>チ</t>
    </rPh>
    <rPh sb="17" eb="19">
      <t>ヘンコウ</t>
    </rPh>
    <phoneticPr fontId="2"/>
  </si>
  <si>
    <r>
      <rPr>
        <sz val="11"/>
        <color theme="1"/>
        <rFont val="ＭＳ Ｐゴシック"/>
        <family val="2"/>
      </rPr>
      <t>冷房用</t>
    </r>
    <r>
      <rPr>
        <sz val="11"/>
        <color theme="1"/>
        <rFont val="Arial"/>
        <family val="2"/>
      </rPr>
      <t>COP</t>
    </r>
    <rPh sb="0" eb="2">
      <t>レイボウ</t>
    </rPh>
    <rPh sb="2" eb="3">
      <t>ヨウ</t>
    </rPh>
    <phoneticPr fontId="2"/>
  </si>
  <si>
    <r>
      <rPr>
        <sz val="11"/>
        <color theme="1"/>
        <rFont val="ＭＳ Ｐゴシック"/>
        <family val="2"/>
      </rPr>
      <t>暖房用</t>
    </r>
    <r>
      <rPr>
        <sz val="11"/>
        <color theme="1"/>
        <rFont val="Arial"/>
        <family val="2"/>
      </rPr>
      <t>COP</t>
    </r>
    <rPh sb="0" eb="3">
      <t>ダンボウヨウ</t>
    </rPh>
    <phoneticPr fontId="2"/>
  </si>
  <si>
    <r>
      <rPr>
        <b/>
        <sz val="11"/>
        <color theme="1"/>
        <rFont val="ＭＳ Ｐゴシック"/>
        <family val="3"/>
        <charset val="128"/>
      </rPr>
      <t>当該施設の操業・営業時間</t>
    </r>
    <rPh sb="0" eb="2">
      <t>トウガイ</t>
    </rPh>
    <rPh sb="2" eb="4">
      <t>シセツ</t>
    </rPh>
    <rPh sb="5" eb="7">
      <t>ソウギョウ</t>
    </rPh>
    <rPh sb="8" eb="10">
      <t>エイギョウ</t>
    </rPh>
    <rPh sb="10" eb="12">
      <t>ジカン</t>
    </rPh>
    <phoneticPr fontId="2"/>
  </si>
  <si>
    <r>
      <rPr>
        <sz val="11"/>
        <color theme="1"/>
        <rFont val="ＭＳ Ｐゴシック"/>
        <family val="2"/>
      </rPr>
      <t>月の平均営業・操業日数</t>
    </r>
    <rPh sb="0" eb="1">
      <t>ツキ</t>
    </rPh>
    <rPh sb="2" eb="4">
      <t>ヘイキン</t>
    </rPh>
    <rPh sb="4" eb="6">
      <t>エイギョウ</t>
    </rPh>
    <rPh sb="7" eb="9">
      <t>ソウギョウ</t>
    </rPh>
    <rPh sb="9" eb="11">
      <t>ニッスウ</t>
    </rPh>
    <phoneticPr fontId="2"/>
  </si>
  <si>
    <r>
      <rPr>
        <sz val="11"/>
        <color theme="1"/>
        <rFont val="ＭＳ Ｐゴシック"/>
        <family val="2"/>
      </rPr>
      <t>日</t>
    </r>
    <r>
      <rPr>
        <sz val="11"/>
        <color theme="1"/>
        <rFont val="Arial"/>
        <family val="2"/>
      </rPr>
      <t>/</t>
    </r>
    <r>
      <rPr>
        <sz val="11"/>
        <color theme="1"/>
        <rFont val="ＭＳ Ｐゴシック"/>
        <family val="2"/>
      </rPr>
      <t>月</t>
    </r>
    <rPh sb="0" eb="1">
      <t>ヒ</t>
    </rPh>
    <rPh sb="2" eb="3">
      <t>ツキ</t>
    </rPh>
    <phoneticPr fontId="2"/>
  </si>
  <si>
    <r>
      <rPr>
        <sz val="11"/>
        <color theme="1"/>
        <rFont val="ＭＳ Ｐゴシック"/>
        <family val="2"/>
      </rPr>
      <t>一日の平均営業・操業時間</t>
    </r>
    <rPh sb="0" eb="2">
      <t>イチニチ</t>
    </rPh>
    <rPh sb="3" eb="5">
      <t>ヘイキン</t>
    </rPh>
    <rPh sb="5" eb="7">
      <t>エイギョウ</t>
    </rPh>
    <rPh sb="8" eb="10">
      <t>ソウギョウ</t>
    </rPh>
    <rPh sb="10" eb="12">
      <t>ジカン</t>
    </rPh>
    <phoneticPr fontId="2"/>
  </si>
  <si>
    <r>
      <t>h/</t>
    </r>
    <r>
      <rPr>
        <sz val="11"/>
        <color theme="1"/>
        <rFont val="ＭＳ Ｐゴシック"/>
        <family val="2"/>
      </rPr>
      <t>日</t>
    </r>
    <rPh sb="2" eb="3">
      <t>ヒ</t>
    </rPh>
    <phoneticPr fontId="2"/>
  </si>
  <si>
    <r>
      <rPr>
        <sz val="11"/>
        <color theme="1"/>
        <rFont val="ＭＳ Ｐゴシック"/>
        <family val="2"/>
      </rPr>
      <t>月当たりの平均操業・営業時間</t>
    </r>
    <rPh sb="0" eb="1">
      <t>ツキ</t>
    </rPh>
    <rPh sb="1" eb="2">
      <t>ア</t>
    </rPh>
    <rPh sb="5" eb="7">
      <t>ヘイキン</t>
    </rPh>
    <rPh sb="7" eb="9">
      <t>ソウギョウ</t>
    </rPh>
    <rPh sb="10" eb="12">
      <t>エイギョウ</t>
    </rPh>
    <rPh sb="12" eb="14">
      <t>ジカン</t>
    </rPh>
    <phoneticPr fontId="2"/>
  </si>
  <si>
    <r>
      <t>h/</t>
    </r>
    <r>
      <rPr>
        <sz val="11"/>
        <color theme="1"/>
        <rFont val="ＭＳ Ｐゴシック"/>
        <family val="2"/>
      </rPr>
      <t>月</t>
    </r>
    <rPh sb="2" eb="3">
      <t>ツキ</t>
    </rPh>
    <phoneticPr fontId="2"/>
  </si>
  <si>
    <r>
      <rPr>
        <b/>
        <sz val="14"/>
        <color theme="1"/>
        <rFont val="ＭＳ Ｐゴシック"/>
        <family val="3"/>
        <charset val="128"/>
      </rPr>
      <t>Ⅱ．施工内容</t>
    </r>
    <rPh sb="2" eb="4">
      <t>セコウ</t>
    </rPh>
    <rPh sb="4" eb="6">
      <t>ナイヨウ</t>
    </rPh>
    <phoneticPr fontId="2"/>
  </si>
  <si>
    <r>
      <rPr>
        <b/>
        <sz val="11"/>
        <rFont val="ＭＳ Ｐゴシック"/>
        <family val="3"/>
        <charset val="128"/>
      </rPr>
      <t>対策部位</t>
    </r>
    <r>
      <rPr>
        <sz val="11"/>
        <rFont val="Arial"/>
        <family val="2"/>
      </rPr>
      <t xml:space="preserve">  (</t>
    </r>
    <r>
      <rPr>
        <sz val="11"/>
        <rFont val="ＭＳ Ｐゴシック"/>
        <family val="3"/>
        <charset val="128"/>
      </rPr>
      <t>対策する工事をクリックし選択する。）</t>
    </r>
    <rPh sb="0" eb="2">
      <t>タイサク</t>
    </rPh>
    <rPh sb="2" eb="4">
      <t>ブイ</t>
    </rPh>
    <rPh sb="7" eb="9">
      <t>タイサク</t>
    </rPh>
    <rPh sb="11" eb="13">
      <t>コウジ</t>
    </rPh>
    <rPh sb="19" eb="21">
      <t>センタク</t>
    </rPh>
    <phoneticPr fontId="2"/>
  </si>
  <si>
    <r>
      <rPr>
        <b/>
        <sz val="11"/>
        <color theme="1"/>
        <rFont val="ＭＳ Ｐゴシック"/>
        <family val="3"/>
        <charset val="128"/>
      </rPr>
      <t>暑さ対策を行う屋根・外壁・窓ガラスの面積</t>
    </r>
    <rPh sb="0" eb="1">
      <t>アツ</t>
    </rPh>
    <rPh sb="2" eb="4">
      <t>タイサク</t>
    </rPh>
    <rPh sb="5" eb="6">
      <t>オコナ</t>
    </rPh>
    <rPh sb="7" eb="9">
      <t>ヤネ</t>
    </rPh>
    <rPh sb="10" eb="12">
      <t>ガイヘキ</t>
    </rPh>
    <rPh sb="13" eb="14">
      <t>マド</t>
    </rPh>
    <rPh sb="18" eb="20">
      <t>メンセキ</t>
    </rPh>
    <phoneticPr fontId="2"/>
  </si>
  <si>
    <r>
      <rPr>
        <sz val="11"/>
        <rFont val="ＭＳ Ｐゴシック"/>
        <family val="3"/>
        <charset val="128"/>
      </rPr>
      <t>暑さ対策を実施する屋根、外壁、窓の施工面積を記入する。施工しない場合は「０」を入力する。</t>
    </r>
    <rPh sb="0" eb="1">
      <t>アツ</t>
    </rPh>
    <rPh sb="2" eb="4">
      <t>タイサク</t>
    </rPh>
    <rPh sb="5" eb="7">
      <t>ジッシ</t>
    </rPh>
    <rPh sb="9" eb="11">
      <t>ヤネ</t>
    </rPh>
    <rPh sb="12" eb="14">
      <t>ガイヘキ</t>
    </rPh>
    <rPh sb="15" eb="16">
      <t>マド</t>
    </rPh>
    <rPh sb="17" eb="19">
      <t>セコウ</t>
    </rPh>
    <rPh sb="19" eb="21">
      <t>メンセキ</t>
    </rPh>
    <rPh sb="22" eb="24">
      <t>キニュウ</t>
    </rPh>
    <rPh sb="27" eb="29">
      <t>セコウ</t>
    </rPh>
    <rPh sb="32" eb="34">
      <t>バアイ</t>
    </rPh>
    <rPh sb="39" eb="41">
      <t>ニュウリョク</t>
    </rPh>
    <phoneticPr fontId="2"/>
  </si>
  <si>
    <r>
      <rPr>
        <sz val="11"/>
        <rFont val="ＭＳ Ｐゴシック"/>
        <family val="3"/>
        <charset val="128"/>
      </rPr>
      <t>方位については、図１、図２を参考にすること。</t>
    </r>
    <rPh sb="0" eb="2">
      <t>ホウイ</t>
    </rPh>
    <rPh sb="8" eb="9">
      <t>ズ</t>
    </rPh>
    <rPh sb="11" eb="12">
      <t>ズ</t>
    </rPh>
    <rPh sb="14" eb="16">
      <t>サンコウ</t>
    </rPh>
    <phoneticPr fontId="2"/>
  </si>
  <si>
    <r>
      <rPr>
        <b/>
        <sz val="11"/>
        <color theme="1"/>
        <rFont val="ＭＳ Ｐゴシック"/>
        <family val="3"/>
        <charset val="128"/>
      </rPr>
      <t>表－２　各方位の対象面積</t>
    </r>
    <rPh sb="0" eb="1">
      <t>ヒョウ</t>
    </rPh>
    <rPh sb="4" eb="7">
      <t>カクホウイ</t>
    </rPh>
    <rPh sb="8" eb="10">
      <t>タイショウ</t>
    </rPh>
    <rPh sb="10" eb="12">
      <t>メンセキ</t>
    </rPh>
    <phoneticPr fontId="2"/>
  </si>
  <si>
    <r>
      <rPr>
        <sz val="11"/>
        <color theme="1"/>
        <rFont val="ＭＳ Ｐゴシック"/>
        <family val="2"/>
      </rPr>
      <t>対策部位</t>
    </r>
    <rPh sb="0" eb="2">
      <t>タイサク</t>
    </rPh>
    <rPh sb="2" eb="4">
      <t>ブイ</t>
    </rPh>
    <phoneticPr fontId="2"/>
  </si>
  <si>
    <r>
      <rPr>
        <sz val="11"/>
        <color theme="1"/>
        <rFont val="ＭＳ Ｐゴシック"/>
        <family val="2"/>
      </rPr>
      <t>方位</t>
    </r>
    <rPh sb="0" eb="2">
      <t>ホウイ</t>
    </rPh>
    <phoneticPr fontId="2"/>
  </si>
  <si>
    <r>
      <rPr>
        <sz val="11"/>
        <color theme="1"/>
        <rFont val="ＭＳ Ｐゴシック"/>
        <family val="2"/>
      </rPr>
      <t>屋根</t>
    </r>
    <rPh sb="0" eb="2">
      <t>ヤネ</t>
    </rPh>
    <phoneticPr fontId="2"/>
  </si>
  <si>
    <r>
      <rPr>
        <sz val="11"/>
        <color theme="1"/>
        <rFont val="ＭＳ Ｐゴシック"/>
        <family val="2"/>
      </rPr>
      <t>－</t>
    </r>
    <phoneticPr fontId="2"/>
  </si>
  <si>
    <r>
      <rPr>
        <sz val="11"/>
        <color theme="1"/>
        <rFont val="ＭＳ Ｐゴシック"/>
        <family val="2"/>
      </rPr>
      <t>外壁</t>
    </r>
    <rPh sb="0" eb="2">
      <t>ガイヘキ</t>
    </rPh>
    <phoneticPr fontId="2"/>
  </si>
  <si>
    <r>
      <rPr>
        <sz val="11"/>
        <color theme="1"/>
        <rFont val="ＭＳ Ｐゴシック"/>
        <family val="2"/>
      </rPr>
      <t>北</t>
    </r>
    <rPh sb="0" eb="1">
      <t>キタ</t>
    </rPh>
    <phoneticPr fontId="2"/>
  </si>
  <si>
    <r>
      <rPr>
        <sz val="11"/>
        <color theme="1"/>
        <rFont val="ＭＳ Ｐゴシック"/>
        <family val="2"/>
      </rPr>
      <t>北東</t>
    </r>
    <rPh sb="0" eb="2">
      <t>ホクトウ</t>
    </rPh>
    <phoneticPr fontId="2"/>
  </si>
  <si>
    <r>
      <rPr>
        <sz val="11"/>
        <color theme="1"/>
        <rFont val="ＭＳ Ｐゴシック"/>
        <family val="2"/>
      </rPr>
      <t>東</t>
    </r>
    <rPh sb="0" eb="1">
      <t>ヒガシ</t>
    </rPh>
    <phoneticPr fontId="2"/>
  </si>
  <si>
    <r>
      <rPr>
        <sz val="11"/>
        <color theme="1"/>
        <rFont val="ＭＳ Ｐゴシック"/>
        <family val="2"/>
      </rPr>
      <t>南東</t>
    </r>
    <rPh sb="0" eb="2">
      <t>ナントウ</t>
    </rPh>
    <phoneticPr fontId="2"/>
  </si>
  <si>
    <r>
      <rPr>
        <sz val="11"/>
        <color theme="1"/>
        <rFont val="ＭＳ Ｐゴシック"/>
        <family val="2"/>
      </rPr>
      <t>南</t>
    </r>
    <rPh sb="0" eb="1">
      <t>ミナミ</t>
    </rPh>
    <phoneticPr fontId="2"/>
  </si>
  <si>
    <r>
      <rPr>
        <sz val="11"/>
        <color theme="1"/>
        <rFont val="ＭＳ Ｐゴシック"/>
        <family val="2"/>
      </rPr>
      <t>南西</t>
    </r>
    <rPh sb="0" eb="2">
      <t>ナンセイ</t>
    </rPh>
    <phoneticPr fontId="2"/>
  </si>
  <si>
    <r>
      <rPr>
        <sz val="11"/>
        <color theme="1"/>
        <rFont val="ＭＳ Ｐゴシック"/>
        <family val="2"/>
      </rPr>
      <t>西</t>
    </r>
    <rPh sb="0" eb="1">
      <t>ニシ</t>
    </rPh>
    <phoneticPr fontId="2"/>
  </si>
  <si>
    <r>
      <rPr>
        <sz val="11"/>
        <color theme="1"/>
        <rFont val="ＭＳ Ｐゴシック"/>
        <family val="2"/>
      </rPr>
      <t>北西</t>
    </r>
    <rPh sb="0" eb="2">
      <t>ホクセイ</t>
    </rPh>
    <phoneticPr fontId="2"/>
  </si>
  <si>
    <r>
      <rPr>
        <sz val="11"/>
        <color theme="1"/>
        <rFont val="ＭＳ Ｐゴシック"/>
        <family val="2"/>
      </rPr>
      <t>窓ガラス</t>
    </r>
    <rPh sb="0" eb="1">
      <t>マド</t>
    </rPh>
    <phoneticPr fontId="2"/>
  </si>
  <si>
    <r>
      <rPr>
        <sz val="11"/>
        <color theme="1"/>
        <rFont val="ＭＳ Ｐゴシック"/>
        <family val="2"/>
      </rPr>
      <t>　　　　対策する面の法線（面に対して９０度の線）と方角の角度</t>
    </r>
    <r>
      <rPr>
        <b/>
        <sz val="11"/>
        <color theme="1"/>
        <rFont val="Arial"/>
        <family val="2"/>
      </rPr>
      <t>α</t>
    </r>
    <r>
      <rPr>
        <sz val="11"/>
        <color theme="1"/>
        <rFont val="ＭＳ Ｐゴシック"/>
        <family val="2"/>
      </rPr>
      <t>が</t>
    </r>
    <r>
      <rPr>
        <b/>
        <sz val="11"/>
        <color theme="1"/>
        <rFont val="ＭＳ Ｐゴシック"/>
        <family val="3"/>
        <charset val="128"/>
      </rPr>
      <t>２２．５</t>
    </r>
    <r>
      <rPr>
        <b/>
        <sz val="11"/>
        <color theme="1"/>
        <rFont val="Arial"/>
        <family val="2"/>
      </rPr>
      <t>°</t>
    </r>
    <rPh sb="4" eb="6">
      <t>タイサク</t>
    </rPh>
    <rPh sb="8" eb="9">
      <t>メン</t>
    </rPh>
    <rPh sb="10" eb="12">
      <t>ホウセン</t>
    </rPh>
    <rPh sb="13" eb="14">
      <t>メン</t>
    </rPh>
    <rPh sb="15" eb="16">
      <t>タイ</t>
    </rPh>
    <rPh sb="20" eb="21">
      <t>ド</t>
    </rPh>
    <rPh sb="22" eb="23">
      <t>セン</t>
    </rPh>
    <rPh sb="25" eb="27">
      <t>ホウガク</t>
    </rPh>
    <rPh sb="28" eb="30">
      <t>カクド</t>
    </rPh>
    <phoneticPr fontId="2"/>
  </si>
  <si>
    <r>
      <rPr>
        <sz val="11"/>
        <color theme="1"/>
        <rFont val="ＭＳ Ｐゴシック"/>
        <family val="2"/>
      </rPr>
      <t>　　　より、小さい場合、この面の方角面（この場合は西向き）となる。</t>
    </r>
    <rPh sb="6" eb="7">
      <t>チイ</t>
    </rPh>
    <rPh sb="9" eb="11">
      <t>バアイ</t>
    </rPh>
    <rPh sb="14" eb="15">
      <t>メン</t>
    </rPh>
    <rPh sb="16" eb="18">
      <t>ホウガク</t>
    </rPh>
    <rPh sb="18" eb="19">
      <t>メン</t>
    </rPh>
    <rPh sb="22" eb="24">
      <t>バアイ</t>
    </rPh>
    <rPh sb="25" eb="27">
      <t>ニシム</t>
    </rPh>
    <phoneticPr fontId="2"/>
  </si>
  <si>
    <r>
      <rPr>
        <sz val="11"/>
        <color theme="1"/>
        <rFont val="ＭＳ Ｐゴシック"/>
        <family val="2"/>
      </rPr>
      <t>　　　図２の場合は北西面となる。</t>
    </r>
    <rPh sb="3" eb="4">
      <t>ズ</t>
    </rPh>
    <rPh sb="6" eb="8">
      <t>バアイ</t>
    </rPh>
    <rPh sb="9" eb="11">
      <t>ホクセイ</t>
    </rPh>
    <rPh sb="11" eb="12">
      <t>メン</t>
    </rPh>
    <phoneticPr fontId="2"/>
  </si>
  <si>
    <r>
      <rPr>
        <b/>
        <sz val="11"/>
        <color theme="1"/>
        <rFont val="ＭＳ Ｐゴシック"/>
        <family val="3"/>
        <charset val="128"/>
      </rPr>
      <t>表－３　暑さ対策による屋根の熱貫流率入力表</t>
    </r>
    <rPh sb="0" eb="1">
      <t>ヒョウ</t>
    </rPh>
    <rPh sb="4" eb="5">
      <t>アツ</t>
    </rPh>
    <rPh sb="6" eb="8">
      <t>タイサク</t>
    </rPh>
    <rPh sb="11" eb="13">
      <t>ヤネ</t>
    </rPh>
    <rPh sb="14" eb="15">
      <t>ネツ</t>
    </rPh>
    <rPh sb="15" eb="17">
      <t>カンリュウ</t>
    </rPh>
    <rPh sb="17" eb="18">
      <t>リツ</t>
    </rPh>
    <rPh sb="18" eb="20">
      <t>ニュウリョク</t>
    </rPh>
    <rPh sb="20" eb="21">
      <t>ヒョウ</t>
    </rPh>
    <phoneticPr fontId="2"/>
  </si>
  <si>
    <r>
      <rPr>
        <b/>
        <sz val="11"/>
        <color theme="1"/>
        <rFont val="ＭＳ Ｐゴシック"/>
        <family val="3"/>
        <charset val="128"/>
      </rPr>
      <t>表－４　暑さ対策による屋根の日射熱吸収率入力表</t>
    </r>
    <rPh sb="0" eb="1">
      <t>ヒョウ</t>
    </rPh>
    <rPh sb="4" eb="5">
      <t>アツ</t>
    </rPh>
    <rPh sb="6" eb="8">
      <t>タイサク</t>
    </rPh>
    <rPh sb="11" eb="13">
      <t>ヤネ</t>
    </rPh>
    <rPh sb="14" eb="16">
      <t>ニッシャ</t>
    </rPh>
    <rPh sb="16" eb="17">
      <t>ネツ</t>
    </rPh>
    <rPh sb="17" eb="19">
      <t>キュウシュウ</t>
    </rPh>
    <rPh sb="19" eb="20">
      <t>リツ</t>
    </rPh>
    <rPh sb="20" eb="22">
      <t>ニュウリョク</t>
    </rPh>
    <rPh sb="22" eb="23">
      <t>ヒョウ</t>
    </rPh>
    <phoneticPr fontId="2"/>
  </si>
  <si>
    <r>
      <rPr>
        <sz val="11"/>
        <color theme="1"/>
        <rFont val="ＭＳ Ｐゴシック"/>
        <family val="2"/>
      </rPr>
      <t>遮熱塗装の日射熱吸収率</t>
    </r>
    <rPh sb="0" eb="2">
      <t>シャネツ</t>
    </rPh>
    <rPh sb="2" eb="4">
      <t>トソウ</t>
    </rPh>
    <rPh sb="5" eb="7">
      <t>ニッシャ</t>
    </rPh>
    <rPh sb="7" eb="8">
      <t>ネツ</t>
    </rPh>
    <rPh sb="8" eb="10">
      <t>キュウシュウ</t>
    </rPh>
    <rPh sb="10" eb="11">
      <t>リツ</t>
    </rPh>
    <phoneticPr fontId="2"/>
  </si>
  <si>
    <r>
      <rPr>
        <sz val="10"/>
        <color theme="1"/>
        <rFont val="ＭＳ Ｐゴシック"/>
        <family val="2"/>
      </rPr>
      <t>【記入例】</t>
    </r>
    <rPh sb="1" eb="3">
      <t>キニュウ</t>
    </rPh>
    <rPh sb="3" eb="4">
      <t>レイ</t>
    </rPh>
    <phoneticPr fontId="2"/>
  </si>
  <si>
    <r>
      <rPr>
        <sz val="10"/>
        <color theme="1"/>
        <rFont val="ＭＳ Ｐゴシック"/>
        <family val="2"/>
      </rPr>
      <t>北東、東、南東について対策を行い</t>
    </r>
    <rPh sb="0" eb="2">
      <t>ホクトウ</t>
    </rPh>
    <rPh sb="3" eb="4">
      <t>ヒガシ</t>
    </rPh>
    <rPh sb="5" eb="7">
      <t>ナントウ</t>
    </rPh>
    <rPh sb="11" eb="13">
      <t>タイサク</t>
    </rPh>
    <rPh sb="14" eb="15">
      <t>オコナ</t>
    </rPh>
    <phoneticPr fontId="2"/>
  </si>
  <si>
    <r>
      <rPr>
        <b/>
        <sz val="11"/>
        <color theme="1"/>
        <rFont val="ＭＳ Ｐゴシック"/>
        <family val="3"/>
        <charset val="128"/>
      </rPr>
      <t>表－５　暑さ対策による外壁の熱貫流率入力表</t>
    </r>
    <rPh sb="0" eb="1">
      <t>ヒョウ</t>
    </rPh>
    <rPh sb="4" eb="5">
      <t>アツ</t>
    </rPh>
    <rPh sb="6" eb="8">
      <t>タイサク</t>
    </rPh>
    <rPh sb="11" eb="13">
      <t>ガイヘキ</t>
    </rPh>
    <rPh sb="14" eb="15">
      <t>ネツ</t>
    </rPh>
    <rPh sb="15" eb="17">
      <t>カンリュウ</t>
    </rPh>
    <rPh sb="17" eb="18">
      <t>リツ</t>
    </rPh>
    <rPh sb="18" eb="20">
      <t>ニュウリョク</t>
    </rPh>
    <rPh sb="20" eb="21">
      <t>ヒョウ</t>
    </rPh>
    <phoneticPr fontId="2"/>
  </si>
  <si>
    <r>
      <rPr>
        <sz val="11"/>
        <color theme="1"/>
        <rFont val="ＭＳ Ｐゴシック"/>
        <family val="2"/>
      </rPr>
      <t>表</t>
    </r>
    <r>
      <rPr>
        <sz val="11"/>
        <color theme="1"/>
        <rFont val="Arial"/>
        <family val="2"/>
      </rPr>
      <t>A</t>
    </r>
    <r>
      <rPr>
        <sz val="11"/>
        <color theme="1"/>
        <rFont val="ＭＳ Ｐゴシック"/>
        <family val="2"/>
      </rPr>
      <t>　表－５の記入例</t>
    </r>
    <rPh sb="0" eb="1">
      <t>ヒョウ</t>
    </rPh>
    <rPh sb="3" eb="4">
      <t>ヒョウ</t>
    </rPh>
    <rPh sb="7" eb="9">
      <t>キニュウ</t>
    </rPh>
    <rPh sb="9" eb="10">
      <t>レイ</t>
    </rPh>
    <phoneticPr fontId="2"/>
  </si>
  <si>
    <r>
      <rPr>
        <sz val="10"/>
        <color theme="1"/>
        <rFont val="ＭＳ Ｐゴシック"/>
        <family val="3"/>
        <charset val="128"/>
      </rPr>
      <t>部位</t>
    </r>
    <rPh sb="0" eb="2">
      <t>ブイ</t>
    </rPh>
    <phoneticPr fontId="2"/>
  </si>
  <si>
    <r>
      <rPr>
        <sz val="10"/>
        <color theme="1"/>
        <rFont val="ＭＳ Ｐゴシック"/>
        <family val="3"/>
        <charset val="128"/>
      </rPr>
      <t>方位</t>
    </r>
    <rPh sb="0" eb="2">
      <t>ホウイ</t>
    </rPh>
    <phoneticPr fontId="2"/>
  </si>
  <si>
    <r>
      <rPr>
        <sz val="10"/>
        <color theme="1"/>
        <rFont val="ＭＳ Ｐゴシック"/>
        <family val="3"/>
        <charset val="128"/>
      </rPr>
      <t>熱貫流率</t>
    </r>
    <rPh sb="0" eb="1">
      <t>ネツ</t>
    </rPh>
    <rPh sb="1" eb="3">
      <t>カンリュウ</t>
    </rPh>
    <rPh sb="3" eb="4">
      <t>リツ</t>
    </rPh>
    <phoneticPr fontId="2"/>
  </si>
  <si>
    <r>
      <rPr>
        <sz val="10"/>
        <color theme="1"/>
        <rFont val="ＭＳ Ｐゴシック"/>
        <family val="3"/>
        <charset val="128"/>
      </rPr>
      <t>外壁</t>
    </r>
    <rPh sb="0" eb="2">
      <t>ガイヘキ</t>
    </rPh>
    <phoneticPr fontId="2"/>
  </si>
  <si>
    <r>
      <rPr>
        <sz val="10"/>
        <color theme="1"/>
        <rFont val="ＭＳ Ｐゴシック"/>
        <family val="3"/>
        <charset val="128"/>
      </rPr>
      <t>北</t>
    </r>
    <rPh sb="0" eb="1">
      <t>キタ</t>
    </rPh>
    <phoneticPr fontId="2"/>
  </si>
  <si>
    <r>
      <rPr>
        <sz val="10"/>
        <color theme="1"/>
        <rFont val="ＭＳ Ｐゴシック"/>
        <family val="2"/>
      </rPr>
      <t>←変更なし</t>
    </r>
    <rPh sb="1" eb="3">
      <t>ヘンコウ</t>
    </rPh>
    <phoneticPr fontId="2"/>
  </si>
  <si>
    <r>
      <rPr>
        <sz val="10"/>
        <color rgb="FFFF0000"/>
        <rFont val="ＭＳ Ｐゴシック"/>
        <family val="3"/>
        <charset val="128"/>
      </rPr>
      <t>北東</t>
    </r>
    <rPh sb="0" eb="2">
      <t>ホクトウ</t>
    </rPh>
    <phoneticPr fontId="2"/>
  </si>
  <si>
    <r>
      <rPr>
        <sz val="10"/>
        <color rgb="FFFF0000"/>
        <rFont val="ＭＳ Ｐゴシック"/>
        <family val="3"/>
        <charset val="128"/>
      </rPr>
      <t>←</t>
    </r>
    <r>
      <rPr>
        <sz val="10"/>
        <color rgb="FFFF0000"/>
        <rFont val="Arial"/>
        <family val="2"/>
      </rPr>
      <t>0.8</t>
    </r>
    <r>
      <rPr>
        <sz val="10"/>
        <color rgb="FFFF0000"/>
        <rFont val="ＭＳ Ｐゴシック"/>
        <family val="3"/>
        <charset val="128"/>
      </rPr>
      <t>を入力</t>
    </r>
    <rPh sb="5" eb="7">
      <t>ニュウリョク</t>
    </rPh>
    <phoneticPr fontId="2"/>
  </si>
  <si>
    <r>
      <rPr>
        <sz val="10"/>
        <color rgb="FFFF0000"/>
        <rFont val="ＭＳ Ｐゴシック"/>
        <family val="3"/>
        <charset val="128"/>
      </rPr>
      <t>東</t>
    </r>
    <rPh sb="0" eb="1">
      <t>ヒガシ</t>
    </rPh>
    <phoneticPr fontId="2"/>
  </si>
  <si>
    <r>
      <rPr>
        <sz val="10"/>
        <color rgb="FFFF0000"/>
        <rFont val="ＭＳ Ｐゴシック"/>
        <family val="3"/>
        <charset val="128"/>
      </rPr>
      <t>南東</t>
    </r>
    <rPh sb="0" eb="2">
      <t>ナントウ</t>
    </rPh>
    <phoneticPr fontId="2"/>
  </si>
  <si>
    <r>
      <rPr>
        <sz val="10"/>
        <color theme="1"/>
        <rFont val="ＭＳ Ｐゴシック"/>
        <family val="3"/>
        <charset val="128"/>
      </rPr>
      <t>南</t>
    </r>
    <rPh sb="0" eb="1">
      <t>ミナミ</t>
    </rPh>
    <phoneticPr fontId="2"/>
  </si>
  <si>
    <r>
      <rPr>
        <sz val="10"/>
        <color theme="1"/>
        <rFont val="ＭＳ Ｐゴシック"/>
        <family val="3"/>
        <charset val="128"/>
      </rPr>
      <t>南西</t>
    </r>
    <rPh sb="0" eb="2">
      <t>ナンセイ</t>
    </rPh>
    <phoneticPr fontId="2"/>
  </si>
  <si>
    <r>
      <rPr>
        <sz val="10"/>
        <color theme="1"/>
        <rFont val="ＭＳ Ｐゴシック"/>
        <family val="3"/>
        <charset val="128"/>
      </rPr>
      <t>西</t>
    </r>
    <rPh sb="0" eb="1">
      <t>ニシ</t>
    </rPh>
    <phoneticPr fontId="2"/>
  </si>
  <si>
    <r>
      <rPr>
        <sz val="10"/>
        <color theme="1"/>
        <rFont val="ＭＳ Ｐゴシック"/>
        <family val="3"/>
        <charset val="128"/>
      </rPr>
      <t>北西</t>
    </r>
    <rPh sb="0" eb="2">
      <t>ホクセイ</t>
    </rPh>
    <phoneticPr fontId="2"/>
  </si>
  <si>
    <r>
      <rPr>
        <b/>
        <sz val="11"/>
        <color theme="1"/>
        <rFont val="ＭＳ Ｐゴシック"/>
        <family val="3"/>
        <charset val="128"/>
      </rPr>
      <t>表－６　暑さ対策による外壁の日射熱吸収率入力表</t>
    </r>
    <rPh sb="0" eb="1">
      <t>ヒョウ</t>
    </rPh>
    <rPh sb="4" eb="5">
      <t>アツ</t>
    </rPh>
    <rPh sb="6" eb="8">
      <t>タイサク</t>
    </rPh>
    <rPh sb="11" eb="13">
      <t>ガイヘキ</t>
    </rPh>
    <rPh sb="14" eb="16">
      <t>ニッシャ</t>
    </rPh>
    <rPh sb="16" eb="17">
      <t>ネツ</t>
    </rPh>
    <rPh sb="17" eb="19">
      <t>キュウシュウ</t>
    </rPh>
    <rPh sb="19" eb="20">
      <t>リツ</t>
    </rPh>
    <rPh sb="20" eb="22">
      <t>ニュウリョク</t>
    </rPh>
    <rPh sb="22" eb="23">
      <t>ヒョウ</t>
    </rPh>
    <phoneticPr fontId="2"/>
  </si>
  <si>
    <r>
      <rPr>
        <sz val="11"/>
        <color theme="1"/>
        <rFont val="ＭＳ Ｐゴシック"/>
        <family val="2"/>
      </rPr>
      <t>表</t>
    </r>
    <r>
      <rPr>
        <sz val="11"/>
        <color theme="1"/>
        <rFont val="Arial"/>
        <family val="2"/>
      </rPr>
      <t>B</t>
    </r>
    <r>
      <rPr>
        <sz val="11"/>
        <color theme="1"/>
        <rFont val="ＭＳ Ｐゴシック"/>
        <family val="2"/>
      </rPr>
      <t>　表－６の記入例</t>
    </r>
    <rPh sb="0" eb="1">
      <t>ヒョウ</t>
    </rPh>
    <rPh sb="3" eb="4">
      <t>ヒョウ</t>
    </rPh>
    <rPh sb="7" eb="9">
      <t>キニュウ</t>
    </rPh>
    <rPh sb="9" eb="10">
      <t>レイ</t>
    </rPh>
    <phoneticPr fontId="2"/>
  </si>
  <si>
    <r>
      <rPr>
        <sz val="10"/>
        <color rgb="FFFF0000"/>
        <rFont val="ＭＳ Ｐゴシック"/>
        <family val="3"/>
        <charset val="128"/>
      </rPr>
      <t>←</t>
    </r>
    <r>
      <rPr>
        <sz val="10"/>
        <color rgb="FFFF0000"/>
        <rFont val="Arial"/>
        <family val="2"/>
      </rPr>
      <t>0.3</t>
    </r>
    <r>
      <rPr>
        <sz val="10"/>
        <color rgb="FFFF0000"/>
        <rFont val="ＭＳ Ｐゴシック"/>
        <family val="3"/>
        <charset val="128"/>
      </rPr>
      <t>を入力</t>
    </r>
    <rPh sb="5" eb="7">
      <t>ニュウリョク</t>
    </rPh>
    <phoneticPr fontId="2"/>
  </si>
  <si>
    <r>
      <rPr>
        <sz val="10"/>
        <color theme="1"/>
        <rFont val="ＭＳ Ｐゴシック"/>
        <family val="2"/>
      </rPr>
      <t>デフォルト値</t>
    </r>
    <rPh sb="5" eb="6">
      <t>チ</t>
    </rPh>
    <phoneticPr fontId="2"/>
  </si>
  <si>
    <r>
      <rPr>
        <sz val="10"/>
        <color theme="1"/>
        <rFont val="ＭＳ Ｐゴシック"/>
        <family val="2"/>
      </rPr>
      <t>単層高性能熱線反射相当</t>
    </r>
    <rPh sb="0" eb="2">
      <t>タンソウ</t>
    </rPh>
    <rPh sb="2" eb="5">
      <t>コウセイノウ</t>
    </rPh>
    <rPh sb="5" eb="6">
      <t>ネツ</t>
    </rPh>
    <rPh sb="6" eb="7">
      <t>セン</t>
    </rPh>
    <rPh sb="7" eb="9">
      <t>ハンシャ</t>
    </rPh>
    <rPh sb="9" eb="11">
      <t>ソウトウ</t>
    </rPh>
    <phoneticPr fontId="2"/>
  </si>
  <si>
    <r>
      <rPr>
        <sz val="10"/>
        <color theme="1"/>
        <rFont val="ＭＳ Ｐゴシック"/>
        <family val="3"/>
        <charset val="128"/>
      </rPr>
      <t>複層</t>
    </r>
    <r>
      <rPr>
        <sz val="10"/>
        <color theme="1"/>
        <rFont val="Arial"/>
        <family val="2"/>
      </rPr>
      <t>(</t>
    </r>
    <r>
      <rPr>
        <sz val="10"/>
        <color theme="1"/>
        <rFont val="ＭＳ Ｐゴシック"/>
        <family val="3"/>
        <charset val="128"/>
      </rPr>
      <t>空気層</t>
    </r>
    <r>
      <rPr>
        <sz val="10"/>
        <color theme="1"/>
        <rFont val="Arial"/>
        <family val="2"/>
      </rPr>
      <t>6mm)Low-E(</t>
    </r>
    <r>
      <rPr>
        <sz val="10"/>
        <color theme="1"/>
        <rFont val="ＭＳ Ｐゴシック"/>
        <family val="3"/>
        <charset val="128"/>
      </rPr>
      <t>遮蔽</t>
    </r>
    <r>
      <rPr>
        <sz val="10"/>
        <color theme="1"/>
        <rFont val="Arial"/>
        <family val="2"/>
      </rPr>
      <t>)6t</t>
    </r>
    <r>
      <rPr>
        <sz val="10"/>
        <color theme="1"/>
        <rFont val="ＭＳ Ｐゴシック"/>
        <family val="3"/>
        <charset val="128"/>
      </rPr>
      <t>＋透明</t>
    </r>
    <r>
      <rPr>
        <sz val="10"/>
        <color theme="1"/>
        <rFont val="Arial"/>
        <family val="2"/>
      </rPr>
      <t>6t</t>
    </r>
    <r>
      <rPr>
        <sz val="10"/>
        <color theme="1"/>
        <rFont val="ＭＳ Ｐゴシック"/>
        <family val="3"/>
        <charset val="128"/>
      </rPr>
      <t>相当</t>
    </r>
    <rPh sb="0" eb="2">
      <t>フクソウ</t>
    </rPh>
    <rPh sb="3" eb="5">
      <t>クウキ</t>
    </rPh>
    <rPh sb="5" eb="6">
      <t>ソウ</t>
    </rPh>
    <rPh sb="16" eb="18">
      <t>シャヘイ</t>
    </rPh>
    <rPh sb="22" eb="24">
      <t>トウメイ</t>
    </rPh>
    <rPh sb="26" eb="28">
      <t>ソウトウ</t>
    </rPh>
    <phoneticPr fontId="2"/>
  </si>
  <si>
    <r>
      <rPr>
        <sz val="9"/>
        <color theme="1"/>
        <rFont val="ＭＳ Ｐゴシック"/>
        <family val="3"/>
        <charset val="128"/>
      </rPr>
      <t>複層</t>
    </r>
    <r>
      <rPr>
        <sz val="9"/>
        <color theme="1"/>
        <rFont val="Arial"/>
        <family val="2"/>
      </rPr>
      <t>(</t>
    </r>
    <r>
      <rPr>
        <sz val="9"/>
        <color theme="1"/>
        <rFont val="ＭＳ Ｐゴシック"/>
        <family val="3"/>
        <charset val="128"/>
      </rPr>
      <t>空気層</t>
    </r>
    <r>
      <rPr>
        <sz val="9"/>
        <color theme="1"/>
        <rFont val="Arial"/>
        <family val="2"/>
      </rPr>
      <t>12mm</t>
    </r>
    <r>
      <rPr>
        <sz val="9"/>
        <color theme="1"/>
        <rFont val="ＭＳ Ｐゴシック"/>
        <family val="3"/>
        <charset val="128"/>
      </rPr>
      <t>）</t>
    </r>
    <r>
      <rPr>
        <sz val="9"/>
        <color theme="1"/>
        <rFont val="Arial"/>
        <family val="2"/>
      </rPr>
      <t>Low-E(</t>
    </r>
    <r>
      <rPr>
        <sz val="9"/>
        <color theme="1"/>
        <rFont val="ＭＳ Ｐゴシック"/>
        <family val="3"/>
        <charset val="128"/>
      </rPr>
      <t>遮蔽</t>
    </r>
    <r>
      <rPr>
        <sz val="9"/>
        <color theme="1"/>
        <rFont val="Arial"/>
        <family val="2"/>
      </rPr>
      <t>)6t</t>
    </r>
    <r>
      <rPr>
        <sz val="9"/>
        <color theme="1"/>
        <rFont val="ＭＳ Ｐゴシック"/>
        <family val="3"/>
        <charset val="128"/>
      </rPr>
      <t>＋透明</t>
    </r>
    <r>
      <rPr>
        <sz val="9"/>
        <color theme="1"/>
        <rFont val="Arial"/>
        <family val="2"/>
      </rPr>
      <t>6t</t>
    </r>
    <r>
      <rPr>
        <sz val="9"/>
        <color theme="1"/>
        <rFont val="ＭＳ Ｐゴシック"/>
        <family val="3"/>
        <charset val="128"/>
      </rPr>
      <t>相当</t>
    </r>
    <rPh sb="0" eb="2">
      <t>フクソウ</t>
    </rPh>
    <rPh sb="3" eb="5">
      <t>クウキ</t>
    </rPh>
    <rPh sb="5" eb="6">
      <t>ソウ</t>
    </rPh>
    <rPh sb="17" eb="19">
      <t>シャヘイ</t>
    </rPh>
    <rPh sb="23" eb="25">
      <t>トウメイ</t>
    </rPh>
    <rPh sb="27" eb="29">
      <t>ソウトウ</t>
    </rPh>
    <phoneticPr fontId="2"/>
  </si>
  <si>
    <r>
      <rPr>
        <sz val="10"/>
        <color theme="1"/>
        <rFont val="ＭＳ Ｐゴシック"/>
        <family val="2"/>
      </rPr>
      <t>南、南西、西について対策を行い</t>
    </r>
    <rPh sb="0" eb="1">
      <t>ミナミ</t>
    </rPh>
    <rPh sb="2" eb="4">
      <t>ナンセイ</t>
    </rPh>
    <rPh sb="5" eb="6">
      <t>ニシ</t>
    </rPh>
    <rPh sb="10" eb="12">
      <t>タイサク</t>
    </rPh>
    <rPh sb="13" eb="14">
      <t>オコナ</t>
    </rPh>
    <phoneticPr fontId="2"/>
  </si>
  <si>
    <r>
      <rPr>
        <sz val="10"/>
        <color theme="1"/>
        <rFont val="ＭＳ Ｐゴシック"/>
        <family val="2"/>
      </rPr>
      <t>熱貫流率が</t>
    </r>
    <r>
      <rPr>
        <sz val="10"/>
        <color theme="1"/>
        <rFont val="Arial"/>
        <family val="2"/>
      </rPr>
      <t>”3”</t>
    </r>
    <r>
      <rPr>
        <sz val="10"/>
        <color theme="1"/>
        <rFont val="ＭＳ Ｐゴシック"/>
        <family val="2"/>
      </rPr>
      <t>に、遮蔽係数が</t>
    </r>
    <r>
      <rPr>
        <sz val="10"/>
        <color theme="1"/>
        <rFont val="Arial"/>
        <family val="2"/>
      </rPr>
      <t>0.8</t>
    </r>
    <r>
      <rPr>
        <sz val="10"/>
        <color theme="1"/>
        <rFont val="ＭＳ Ｐゴシック"/>
        <family val="2"/>
      </rPr>
      <t>に</t>
    </r>
    <rPh sb="0" eb="1">
      <t>ネツ</t>
    </rPh>
    <rPh sb="1" eb="3">
      <t>カンリュウ</t>
    </rPh>
    <rPh sb="3" eb="4">
      <t>リツ</t>
    </rPh>
    <rPh sb="10" eb="12">
      <t>シャヘイ</t>
    </rPh>
    <rPh sb="12" eb="14">
      <t>ケイスウ</t>
    </rPh>
    <phoneticPr fontId="2"/>
  </si>
  <si>
    <r>
      <rPr>
        <sz val="11"/>
        <color theme="1"/>
        <rFont val="ＭＳ Ｐゴシック"/>
        <family val="2"/>
      </rPr>
      <t>★デフォルト値：</t>
    </r>
    <rPh sb="6" eb="7">
      <t>チ</t>
    </rPh>
    <phoneticPr fontId="2"/>
  </si>
  <si>
    <r>
      <rPr>
        <sz val="10"/>
        <color theme="1"/>
        <rFont val="ＭＳ Ｐゴシック"/>
        <family val="3"/>
        <charset val="128"/>
      </rPr>
      <t>変更する場合</t>
    </r>
    <phoneticPr fontId="2"/>
  </si>
  <si>
    <r>
      <rPr>
        <sz val="9"/>
        <color theme="1"/>
        <rFont val="ＭＳ Ｐゴシック"/>
        <family val="2"/>
      </rPr>
      <t>熱貫流率</t>
    </r>
    <rPh sb="0" eb="1">
      <t>ネツ</t>
    </rPh>
    <rPh sb="1" eb="3">
      <t>カンリュウ</t>
    </rPh>
    <rPh sb="3" eb="4">
      <t>リツ</t>
    </rPh>
    <phoneticPr fontId="2"/>
  </si>
  <si>
    <r>
      <rPr>
        <sz val="11"/>
        <color theme="1"/>
        <rFont val="ＭＳ Ｐゴシック"/>
        <family val="2"/>
      </rPr>
      <t>表</t>
    </r>
    <r>
      <rPr>
        <sz val="11"/>
        <color theme="1"/>
        <rFont val="Arial"/>
        <family val="2"/>
      </rPr>
      <t>C</t>
    </r>
    <r>
      <rPr>
        <sz val="11"/>
        <color theme="1"/>
        <rFont val="ＭＳ Ｐゴシック"/>
        <family val="2"/>
      </rPr>
      <t>　表－８の記入例</t>
    </r>
    <rPh sb="0" eb="1">
      <t>ヒョウ</t>
    </rPh>
    <rPh sb="3" eb="4">
      <t>ヒョウ</t>
    </rPh>
    <rPh sb="7" eb="9">
      <t>キニュウ</t>
    </rPh>
    <rPh sb="9" eb="10">
      <t>レイ</t>
    </rPh>
    <phoneticPr fontId="2"/>
  </si>
  <si>
    <r>
      <rPr>
        <sz val="10"/>
        <color theme="1"/>
        <rFont val="ＭＳ Ｐゴシック"/>
        <family val="3"/>
        <charset val="128"/>
      </rPr>
      <t>遮熱係数</t>
    </r>
    <rPh sb="0" eb="2">
      <t>シャネツ</t>
    </rPh>
    <rPh sb="2" eb="4">
      <t>ケイスウ</t>
    </rPh>
    <phoneticPr fontId="2"/>
  </si>
  <si>
    <r>
      <rPr>
        <sz val="10"/>
        <color theme="1"/>
        <rFont val="ＭＳ Ｐゴシック"/>
        <family val="3"/>
        <charset val="128"/>
      </rPr>
      <t>窓ガラス</t>
    </r>
    <rPh sb="0" eb="1">
      <t>マド</t>
    </rPh>
    <phoneticPr fontId="2"/>
  </si>
  <si>
    <r>
      <rPr>
        <sz val="10"/>
        <color theme="1"/>
        <rFont val="ＭＳ Ｐゴシック"/>
        <family val="3"/>
        <charset val="128"/>
      </rPr>
      <t>北東</t>
    </r>
    <rPh sb="0" eb="2">
      <t>ホクトウ</t>
    </rPh>
    <phoneticPr fontId="2"/>
  </si>
  <si>
    <r>
      <rPr>
        <sz val="10"/>
        <color theme="1"/>
        <rFont val="ＭＳ Ｐゴシック"/>
        <family val="3"/>
        <charset val="128"/>
      </rPr>
      <t>東</t>
    </r>
    <rPh sb="0" eb="1">
      <t>ヒガシ</t>
    </rPh>
    <phoneticPr fontId="2"/>
  </si>
  <si>
    <r>
      <rPr>
        <sz val="10"/>
        <color theme="1"/>
        <rFont val="ＭＳ Ｐゴシック"/>
        <family val="3"/>
        <charset val="128"/>
      </rPr>
      <t>南東</t>
    </r>
    <rPh sb="0" eb="2">
      <t>ナントウ</t>
    </rPh>
    <phoneticPr fontId="2"/>
  </si>
  <si>
    <r>
      <rPr>
        <sz val="10"/>
        <color rgb="FFFF0000"/>
        <rFont val="ＭＳ Ｐゴシック"/>
        <family val="3"/>
        <charset val="128"/>
      </rPr>
      <t>南</t>
    </r>
    <rPh sb="0" eb="1">
      <t>ミナミ</t>
    </rPh>
    <phoneticPr fontId="2"/>
  </si>
  <si>
    <r>
      <rPr>
        <sz val="10"/>
        <color rgb="FFFF0000"/>
        <rFont val="ＭＳ Ｐゴシック"/>
        <family val="3"/>
        <charset val="128"/>
      </rPr>
      <t>←</t>
    </r>
    <r>
      <rPr>
        <sz val="10"/>
        <color rgb="FFFF0000"/>
        <rFont val="Arial"/>
        <family val="2"/>
      </rPr>
      <t>3</t>
    </r>
    <r>
      <rPr>
        <sz val="10"/>
        <color rgb="FFFF0000"/>
        <rFont val="ＭＳ Ｐゴシック"/>
        <family val="3"/>
        <charset val="128"/>
      </rPr>
      <t>、</t>
    </r>
    <r>
      <rPr>
        <sz val="10"/>
        <color rgb="FFFF0000"/>
        <rFont val="Arial"/>
        <family val="2"/>
      </rPr>
      <t>0.8</t>
    </r>
    <r>
      <rPr>
        <sz val="10"/>
        <color rgb="FFFF0000"/>
        <rFont val="ＭＳ Ｐゴシック"/>
        <family val="3"/>
        <charset val="128"/>
      </rPr>
      <t>を入力</t>
    </r>
    <rPh sb="7" eb="9">
      <t>ニュウリョク</t>
    </rPh>
    <phoneticPr fontId="2"/>
  </si>
  <si>
    <r>
      <rPr>
        <sz val="10"/>
        <color rgb="FFFF0000"/>
        <rFont val="ＭＳ Ｐゴシック"/>
        <family val="3"/>
        <charset val="128"/>
      </rPr>
      <t>南西</t>
    </r>
    <rPh sb="0" eb="2">
      <t>ナンセイ</t>
    </rPh>
    <phoneticPr fontId="2"/>
  </si>
  <si>
    <r>
      <rPr>
        <sz val="10"/>
        <color rgb="FFFF0000"/>
        <rFont val="ＭＳ Ｐゴシック"/>
        <family val="3"/>
        <charset val="128"/>
      </rPr>
      <t>西</t>
    </r>
    <rPh sb="0" eb="1">
      <t>ニシ</t>
    </rPh>
    <phoneticPr fontId="2"/>
  </si>
  <si>
    <r>
      <rPr>
        <b/>
        <sz val="11"/>
        <color theme="1"/>
        <rFont val="ＭＳ Ｐゴシック"/>
        <family val="3"/>
        <charset val="128"/>
      </rPr>
      <t>計算結果</t>
    </r>
    <rPh sb="0" eb="2">
      <t>ケイサン</t>
    </rPh>
    <rPh sb="2" eb="4">
      <t>ケッカ</t>
    </rPh>
    <phoneticPr fontId="2"/>
  </si>
  <si>
    <r>
      <rPr>
        <sz val="11"/>
        <color theme="1"/>
        <rFont val="ＭＳ Ｐゴシック"/>
        <family val="2"/>
      </rPr>
      <t>立地場所に近い数値を採用してください。</t>
    </r>
    <rPh sb="0" eb="2">
      <t>リッチ</t>
    </rPh>
    <rPh sb="2" eb="4">
      <t>バショ</t>
    </rPh>
    <rPh sb="5" eb="6">
      <t>チカ</t>
    </rPh>
    <rPh sb="7" eb="9">
      <t>スウチ</t>
    </rPh>
    <rPh sb="10" eb="12">
      <t>サイヨウ</t>
    </rPh>
    <phoneticPr fontId="2"/>
  </si>
  <si>
    <r>
      <rPr>
        <sz val="11"/>
        <color theme="1"/>
        <rFont val="ＭＳ Ｐゴシック"/>
        <family val="2"/>
      </rPr>
      <t>表－９　暑さ対策による省エネ効果算出結果表</t>
    </r>
    <rPh sb="11" eb="12">
      <t>ショウ</t>
    </rPh>
    <rPh sb="14" eb="16">
      <t>コウカ</t>
    </rPh>
    <rPh sb="16" eb="18">
      <t>サンシュツ</t>
    </rPh>
    <rPh sb="18" eb="20">
      <t>ケッカ</t>
    </rPh>
    <rPh sb="20" eb="21">
      <t>ヒョウ</t>
    </rPh>
    <phoneticPr fontId="2"/>
  </si>
  <si>
    <r>
      <rPr>
        <sz val="11"/>
        <color theme="1"/>
        <rFont val="ＭＳ Ｐゴシック"/>
        <family val="2"/>
      </rPr>
      <t>項目</t>
    </r>
    <rPh sb="0" eb="2">
      <t>コウモク</t>
    </rPh>
    <phoneticPr fontId="2"/>
  </si>
  <si>
    <r>
      <rPr>
        <sz val="11"/>
        <color theme="1"/>
        <rFont val="ＭＳ Ｐゴシック"/>
        <family val="2"/>
      </rPr>
      <t>単位</t>
    </r>
    <rPh sb="0" eb="2">
      <t>タンイ</t>
    </rPh>
    <phoneticPr fontId="2"/>
  </si>
  <si>
    <r>
      <rPr>
        <sz val="11"/>
        <color theme="1"/>
        <rFont val="ＭＳ Ｐゴシック"/>
        <family val="2"/>
      </rPr>
      <t>さいたま市</t>
    </r>
    <rPh sb="4" eb="5">
      <t>シ</t>
    </rPh>
    <phoneticPr fontId="2"/>
  </si>
  <si>
    <r>
      <rPr>
        <sz val="11"/>
        <color theme="1"/>
        <rFont val="ＭＳ Ｐゴシック"/>
        <family val="2"/>
      </rPr>
      <t>熊谷市</t>
    </r>
    <rPh sb="0" eb="3">
      <t>クマガヤシ</t>
    </rPh>
    <phoneticPr fontId="2"/>
  </si>
  <si>
    <r>
      <rPr>
        <sz val="11"/>
        <color theme="1"/>
        <rFont val="ＭＳ Ｐゴシック"/>
        <family val="2"/>
      </rPr>
      <t>秩父市</t>
    </r>
    <rPh sb="0" eb="3">
      <t>チチブシ</t>
    </rPh>
    <phoneticPr fontId="2"/>
  </si>
  <si>
    <r>
      <rPr>
        <sz val="11"/>
        <color theme="1"/>
        <rFont val="ＭＳ Ｐゴシック"/>
        <family val="2"/>
      </rPr>
      <t>消費電力削減量</t>
    </r>
    <rPh sb="0" eb="2">
      <t>ショウヒ</t>
    </rPh>
    <rPh sb="2" eb="4">
      <t>デンリョク</t>
    </rPh>
    <rPh sb="4" eb="6">
      <t>サクゲン</t>
    </rPh>
    <rPh sb="6" eb="7">
      <t>リョウ</t>
    </rPh>
    <phoneticPr fontId="2"/>
  </si>
  <si>
    <r>
      <t>CO2</t>
    </r>
    <r>
      <rPr>
        <sz val="11"/>
        <color theme="1"/>
        <rFont val="ＭＳ Ｐゴシック"/>
        <family val="2"/>
      </rPr>
      <t>削減量</t>
    </r>
    <rPh sb="3" eb="5">
      <t>サクゲン</t>
    </rPh>
    <rPh sb="5" eb="6">
      <t>リョウ</t>
    </rPh>
    <phoneticPr fontId="2"/>
  </si>
  <si>
    <r>
      <t>t-CO2/</t>
    </r>
    <r>
      <rPr>
        <sz val="11"/>
        <color theme="1"/>
        <rFont val="ＭＳ Ｐゴシック"/>
        <family val="2"/>
      </rPr>
      <t>年</t>
    </r>
    <rPh sb="6" eb="7">
      <t>ネン</t>
    </rPh>
    <phoneticPr fontId="2"/>
  </si>
  <si>
    <r>
      <rPr>
        <sz val="11"/>
        <color theme="1"/>
        <rFont val="ＭＳ Ｐゴシック"/>
        <family val="2"/>
      </rPr>
      <t>省エネ率</t>
    </r>
    <rPh sb="0" eb="1">
      <t>ショウ</t>
    </rPh>
    <rPh sb="3" eb="4">
      <t>リツ</t>
    </rPh>
    <phoneticPr fontId="2"/>
  </si>
  <si>
    <r>
      <rPr>
        <sz val="11"/>
        <color theme="1"/>
        <rFont val="ＭＳ Ｐゴシック"/>
        <family val="2"/>
      </rPr>
      <t>導入前</t>
    </r>
    <r>
      <rPr>
        <sz val="11"/>
        <color theme="1"/>
        <rFont val="Arial"/>
        <family val="2"/>
      </rPr>
      <t>CO2</t>
    </r>
    <r>
      <rPr>
        <sz val="11"/>
        <color theme="1"/>
        <rFont val="ＭＳ Ｐゴシック"/>
        <family val="2"/>
      </rPr>
      <t>量</t>
    </r>
    <rPh sb="0" eb="2">
      <t>ドウニュウ</t>
    </rPh>
    <rPh sb="2" eb="3">
      <t>マエ</t>
    </rPh>
    <rPh sb="6" eb="7">
      <t>リョウ</t>
    </rPh>
    <phoneticPr fontId="2"/>
  </si>
  <si>
    <r>
      <rPr>
        <sz val="11"/>
        <color theme="1"/>
        <rFont val="ＭＳ Ｐゴシック"/>
        <family val="2"/>
      </rPr>
      <t>導入後</t>
    </r>
    <r>
      <rPr>
        <sz val="11"/>
        <color theme="1"/>
        <rFont val="Arial"/>
        <family val="2"/>
      </rPr>
      <t>CO2</t>
    </r>
    <r>
      <rPr>
        <sz val="11"/>
        <color theme="1"/>
        <rFont val="ＭＳ Ｐゴシック"/>
        <family val="2"/>
      </rPr>
      <t>量</t>
    </r>
    <rPh sb="0" eb="2">
      <t>ドウニュウ</t>
    </rPh>
    <rPh sb="2" eb="3">
      <t>ゴ</t>
    </rPh>
    <rPh sb="6" eb="7">
      <t>リョウ</t>
    </rPh>
    <phoneticPr fontId="2"/>
  </si>
  <si>
    <r>
      <rPr>
        <sz val="11"/>
        <color theme="1"/>
        <rFont val="ＭＳ Ｐゴシック"/>
        <family val="2"/>
      </rPr>
      <t>導入前電力量</t>
    </r>
    <rPh sb="0" eb="2">
      <t>ドウニュウ</t>
    </rPh>
    <rPh sb="2" eb="3">
      <t>マエ</t>
    </rPh>
    <rPh sb="3" eb="5">
      <t>デンリョク</t>
    </rPh>
    <rPh sb="5" eb="6">
      <t>リョウ</t>
    </rPh>
    <phoneticPr fontId="2"/>
  </si>
  <si>
    <r>
      <rPr>
        <sz val="11"/>
        <color theme="1"/>
        <rFont val="ＭＳ Ｐゴシック"/>
        <family val="2"/>
      </rPr>
      <t>導入後電力量</t>
    </r>
    <rPh sb="0" eb="2">
      <t>ドウニュウ</t>
    </rPh>
    <rPh sb="2" eb="3">
      <t>ゴ</t>
    </rPh>
    <rPh sb="3" eb="5">
      <t>デンリョク</t>
    </rPh>
    <rPh sb="5" eb="6">
      <t>リョウ</t>
    </rPh>
    <phoneticPr fontId="2"/>
  </si>
  <si>
    <r>
      <rPr>
        <sz val="9"/>
        <color theme="1"/>
        <rFont val="ＭＳ Ｐゴシック"/>
        <family val="2"/>
      </rPr>
      <t>部位</t>
    </r>
    <rPh sb="0" eb="2">
      <t>ブイ</t>
    </rPh>
    <phoneticPr fontId="2"/>
  </si>
  <si>
    <r>
      <rPr>
        <sz val="9"/>
        <color theme="1"/>
        <rFont val="ＭＳ Ｐゴシック"/>
        <family val="2"/>
      </rPr>
      <t>方位</t>
    </r>
    <rPh sb="0" eb="2">
      <t>ホウイ</t>
    </rPh>
    <phoneticPr fontId="2"/>
  </si>
  <si>
    <r>
      <rPr>
        <sz val="9"/>
        <color theme="1"/>
        <rFont val="ＭＳ Ｐゴシック"/>
        <family val="2"/>
      </rPr>
      <t>窓対策の内容</t>
    </r>
    <rPh sb="0" eb="1">
      <t>マド</t>
    </rPh>
    <rPh sb="1" eb="3">
      <t>タイサク</t>
    </rPh>
    <rPh sb="4" eb="6">
      <t>ナイヨウ</t>
    </rPh>
    <phoneticPr fontId="2"/>
  </si>
  <si>
    <r>
      <rPr>
        <sz val="9"/>
        <color theme="1"/>
        <rFont val="ＭＳ Ｐゴシック"/>
        <family val="3"/>
        <charset val="128"/>
      </rPr>
      <t>部位</t>
    </r>
    <rPh sb="0" eb="2">
      <t>ブイ</t>
    </rPh>
    <phoneticPr fontId="2"/>
  </si>
  <si>
    <r>
      <rPr>
        <sz val="9"/>
        <color theme="1"/>
        <rFont val="ＭＳ Ｐゴシック"/>
        <family val="3"/>
        <charset val="128"/>
      </rPr>
      <t>方位</t>
    </r>
    <rPh sb="0" eb="2">
      <t>ホウイ</t>
    </rPh>
    <phoneticPr fontId="2"/>
  </si>
  <si>
    <r>
      <rPr>
        <sz val="9"/>
        <color theme="1"/>
        <rFont val="ＭＳ Ｐゴシック"/>
        <family val="3"/>
        <charset val="128"/>
      </rPr>
      <t>日射吸収率</t>
    </r>
    <rPh sb="0" eb="2">
      <t>ニッシャ</t>
    </rPh>
    <rPh sb="2" eb="4">
      <t>キュウシュウ</t>
    </rPh>
    <rPh sb="4" eb="5">
      <t>リツ</t>
    </rPh>
    <phoneticPr fontId="2"/>
  </si>
  <si>
    <r>
      <rPr>
        <sz val="9"/>
        <color theme="1"/>
        <rFont val="ＭＳ Ｐゴシック"/>
        <family val="3"/>
        <charset val="128"/>
      </rPr>
      <t>熱貫流率</t>
    </r>
    <rPh sb="0" eb="1">
      <t>ネツ</t>
    </rPh>
    <rPh sb="1" eb="3">
      <t>カンリュウ</t>
    </rPh>
    <rPh sb="3" eb="4">
      <t>リツ</t>
    </rPh>
    <phoneticPr fontId="2"/>
  </si>
  <si>
    <t>K</t>
    <phoneticPr fontId="2"/>
  </si>
  <si>
    <t>K</t>
    <phoneticPr fontId="2"/>
  </si>
  <si>
    <t>K</t>
    <phoneticPr fontId="2"/>
  </si>
  <si>
    <t>表－１　対象建築物の年間消費電力入力表（参考）</t>
    <rPh sb="0" eb="1">
      <t>ヒョウ</t>
    </rPh>
    <rPh sb="4" eb="6">
      <t>タイショウ</t>
    </rPh>
    <rPh sb="6" eb="9">
      <t>ケンチクブツ</t>
    </rPh>
    <rPh sb="10" eb="12">
      <t>ネンカン</t>
    </rPh>
    <rPh sb="12" eb="14">
      <t>ショウヒ</t>
    </rPh>
    <rPh sb="14" eb="16">
      <t>デンリョク</t>
    </rPh>
    <rPh sb="16" eb="18">
      <t>ニュウリョク</t>
    </rPh>
    <rPh sb="18" eb="19">
      <t>ヒョウ</t>
    </rPh>
    <rPh sb="20" eb="22">
      <t>サンコウ</t>
    </rPh>
    <phoneticPr fontId="2"/>
  </si>
  <si>
    <t>連絡先・
書類送付先</t>
    <rPh sb="0" eb="3">
      <t>レンラクサキ</t>
    </rPh>
    <rPh sb="5" eb="7">
      <t>ショルイ</t>
    </rPh>
    <rPh sb="7" eb="9">
      <t>ソウフ</t>
    </rPh>
    <rPh sb="9" eb="10">
      <t>サキ</t>
    </rPh>
    <phoneticPr fontId="22"/>
  </si>
  <si>
    <t>書類送付住所</t>
    <rPh sb="0" eb="2">
      <t>ショルイ</t>
    </rPh>
    <rPh sb="2" eb="4">
      <t>ソウフ</t>
    </rPh>
    <rPh sb="4" eb="6">
      <t>ジュウショ</t>
    </rPh>
    <phoneticPr fontId="22"/>
  </si>
  <si>
    <r>
      <rPr>
        <b/>
        <sz val="14"/>
        <color theme="1"/>
        <rFont val="ＭＳ Ｐゴシック"/>
        <family val="3"/>
        <charset val="128"/>
      </rPr>
      <t>計算結果</t>
    </r>
    <rPh sb="0" eb="2">
      <t>ケイサン</t>
    </rPh>
    <rPh sb="2" eb="4">
      <t>ケッカ</t>
    </rPh>
    <phoneticPr fontId="2"/>
  </si>
  <si>
    <r>
      <rPr>
        <sz val="11"/>
        <color theme="1"/>
        <rFont val="ＭＳ Ｐゴシック"/>
        <family val="2"/>
      </rPr>
      <t>作成日</t>
    </r>
    <rPh sb="0" eb="3">
      <t>サクセイビ</t>
    </rPh>
    <phoneticPr fontId="2"/>
  </si>
  <si>
    <r>
      <rPr>
        <sz val="11"/>
        <color theme="1"/>
        <rFont val="ＭＳ Ｐゴシック"/>
        <family val="2"/>
      </rPr>
      <t>対策事業名</t>
    </r>
    <rPh sb="0" eb="2">
      <t>タイサク</t>
    </rPh>
    <rPh sb="2" eb="4">
      <t>ジギョウ</t>
    </rPh>
    <rPh sb="3" eb="4">
      <t>コウジ</t>
    </rPh>
    <rPh sb="4" eb="5">
      <t>メイ</t>
    </rPh>
    <phoneticPr fontId="2"/>
  </si>
  <si>
    <r>
      <rPr>
        <sz val="11"/>
        <color theme="1"/>
        <rFont val="ＭＳ Ｐゴシック"/>
        <family val="2"/>
      </rPr>
      <t>設置工事場所</t>
    </r>
    <phoneticPr fontId="2"/>
  </si>
  <si>
    <r>
      <rPr>
        <sz val="9"/>
        <color theme="1"/>
        <rFont val="ＭＳ Ｐゴシック"/>
        <family val="2"/>
      </rPr>
      <t>気象台観測点</t>
    </r>
    <rPh sb="0" eb="3">
      <t>キショウダイ</t>
    </rPh>
    <rPh sb="3" eb="6">
      <t>カンソクテン</t>
    </rPh>
    <phoneticPr fontId="2"/>
  </si>
  <si>
    <r>
      <rPr>
        <sz val="11"/>
        <color theme="1"/>
        <rFont val="ＭＳ Ｐゴシック"/>
        <family val="2"/>
      </rPr>
      <t>操業・営業時間</t>
    </r>
    <rPh sb="0" eb="2">
      <t>ソウギョウ</t>
    </rPh>
    <rPh sb="3" eb="5">
      <t>エイギョウ</t>
    </rPh>
    <rPh sb="5" eb="7">
      <t>ジカン</t>
    </rPh>
    <phoneticPr fontId="2"/>
  </si>
  <si>
    <r>
      <t>h/</t>
    </r>
    <r>
      <rPr>
        <sz val="11"/>
        <color theme="1"/>
        <rFont val="ＭＳ Ｐゴシック"/>
        <family val="2"/>
      </rPr>
      <t>日</t>
    </r>
    <rPh sb="2" eb="3">
      <t>ニチ</t>
    </rPh>
    <phoneticPr fontId="2"/>
  </si>
  <si>
    <r>
      <rPr>
        <sz val="11"/>
        <color theme="1"/>
        <rFont val="ＭＳ Ｐゴシック"/>
        <family val="2"/>
      </rPr>
      <t>日</t>
    </r>
    <r>
      <rPr>
        <sz val="11"/>
        <color theme="1"/>
        <rFont val="Arial"/>
        <family val="2"/>
      </rPr>
      <t>/</t>
    </r>
    <r>
      <rPr>
        <sz val="11"/>
        <color theme="1"/>
        <rFont val="ＭＳ Ｐゴシック"/>
        <family val="2"/>
      </rPr>
      <t>月</t>
    </r>
    <rPh sb="0" eb="1">
      <t>ニチ</t>
    </rPh>
    <rPh sb="2" eb="3">
      <t>ツキ</t>
    </rPh>
    <phoneticPr fontId="2"/>
  </si>
  <si>
    <r>
      <rPr>
        <sz val="11"/>
        <color theme="1"/>
        <rFont val="ＭＳ Ｐゴシック"/>
        <family val="2"/>
      </rPr>
      <t>削減可能熱量</t>
    </r>
    <rPh sb="0" eb="2">
      <t>サクゲン</t>
    </rPh>
    <rPh sb="2" eb="4">
      <t>カノウ</t>
    </rPh>
    <rPh sb="4" eb="6">
      <t>ネツリョウ</t>
    </rPh>
    <phoneticPr fontId="2"/>
  </si>
  <si>
    <r>
      <rPr>
        <sz val="11"/>
        <color theme="1"/>
        <rFont val="ＭＳ Ｐゴシック"/>
        <family val="2"/>
      </rPr>
      <t>冷房</t>
    </r>
    <rPh sb="0" eb="2">
      <t>レイボウ</t>
    </rPh>
    <phoneticPr fontId="2"/>
  </si>
  <si>
    <r>
      <rPr>
        <sz val="11"/>
        <color theme="1"/>
        <rFont val="ＭＳ Ｐゴシック"/>
        <family val="2"/>
      </rPr>
      <t>暖房</t>
    </r>
    <rPh sb="0" eb="2">
      <t>ダンボウ</t>
    </rPh>
    <phoneticPr fontId="2"/>
  </si>
  <si>
    <r>
      <rPr>
        <b/>
        <sz val="11"/>
        <color theme="1"/>
        <rFont val="ＭＳ Ｐゴシック"/>
        <family val="3"/>
        <charset val="128"/>
      </rPr>
      <t>年間</t>
    </r>
    <r>
      <rPr>
        <b/>
        <sz val="11"/>
        <color theme="1"/>
        <rFont val="Arial"/>
        <family val="2"/>
      </rPr>
      <t>CO2</t>
    </r>
    <r>
      <rPr>
        <b/>
        <sz val="11"/>
        <color theme="1"/>
        <rFont val="ＭＳ Ｐゴシック"/>
        <family val="3"/>
        <charset val="128"/>
      </rPr>
      <t>排出削減量</t>
    </r>
    <rPh sb="0" eb="2">
      <t>ネンカン</t>
    </rPh>
    <rPh sb="5" eb="7">
      <t>ハイシュツ</t>
    </rPh>
    <rPh sb="7" eb="9">
      <t>サクゲン</t>
    </rPh>
    <rPh sb="9" eb="10">
      <t>リョウ</t>
    </rPh>
    <phoneticPr fontId="2"/>
  </si>
  <si>
    <r>
      <rPr>
        <b/>
        <sz val="11"/>
        <color theme="1"/>
        <rFont val="ＭＳ Ｐゴシック"/>
        <family val="3"/>
        <charset val="128"/>
      </rPr>
      <t>年間消費電力削減量</t>
    </r>
    <rPh sb="0" eb="2">
      <t>ネンカン</t>
    </rPh>
    <rPh sb="2" eb="4">
      <t>ショウヒ</t>
    </rPh>
    <rPh sb="4" eb="6">
      <t>デンリョク</t>
    </rPh>
    <rPh sb="6" eb="8">
      <t>サクゲン</t>
    </rPh>
    <rPh sb="8" eb="9">
      <t>リョウ</t>
    </rPh>
    <phoneticPr fontId="2"/>
  </si>
  <si>
    <r>
      <rPr>
        <sz val="10"/>
        <color theme="1"/>
        <rFont val="ＭＳ Ｐゴシック"/>
        <family val="2"/>
      </rPr>
      <t>　屋根の熱貫流率</t>
    </r>
    <phoneticPr fontId="2"/>
  </si>
  <si>
    <r>
      <rPr>
        <b/>
        <sz val="11"/>
        <color theme="1"/>
        <rFont val="ＭＳ Ｐゴシック"/>
        <family val="3"/>
        <charset val="128"/>
      </rPr>
      <t>省エネ率</t>
    </r>
    <rPh sb="0" eb="1">
      <t>ショウ</t>
    </rPh>
    <rPh sb="3" eb="4">
      <t>リツ</t>
    </rPh>
    <phoneticPr fontId="2"/>
  </si>
  <si>
    <r>
      <rPr>
        <sz val="11"/>
        <color theme="1"/>
        <rFont val="ＭＳ Ｐゴシック"/>
        <family val="2"/>
      </rPr>
      <t>外壁の諸係数</t>
    </r>
    <rPh sb="0" eb="2">
      <t>ガイヘキ</t>
    </rPh>
    <rPh sb="3" eb="4">
      <t>ショ</t>
    </rPh>
    <rPh sb="4" eb="6">
      <t>ケイスウ</t>
    </rPh>
    <phoneticPr fontId="2"/>
  </si>
  <si>
    <r>
      <rPr>
        <sz val="11"/>
        <color theme="1"/>
        <rFont val="ＭＳ Ｐゴシック"/>
        <family val="2"/>
      </rPr>
      <t>窓の諸係数</t>
    </r>
    <rPh sb="2" eb="3">
      <t>ショ</t>
    </rPh>
    <rPh sb="3" eb="5">
      <t>ケイスウ</t>
    </rPh>
    <phoneticPr fontId="2"/>
  </si>
  <si>
    <r>
      <rPr>
        <sz val="11"/>
        <color theme="1"/>
        <rFont val="ＭＳ Ｐゴシック"/>
        <family val="2"/>
      </rPr>
      <t>熱貫流率</t>
    </r>
    <rPh sb="0" eb="1">
      <t>ネツ</t>
    </rPh>
    <rPh sb="1" eb="3">
      <t>カンリュウ</t>
    </rPh>
    <rPh sb="3" eb="4">
      <t>リツ</t>
    </rPh>
    <phoneticPr fontId="2"/>
  </si>
  <si>
    <r>
      <rPr>
        <b/>
        <sz val="14"/>
        <color theme="1"/>
        <rFont val="ＭＳ Ｐゴシック"/>
        <family val="3"/>
        <charset val="128"/>
      </rPr>
      <t>表－１　暑さ対策導入前の冷暖房熱負荷計算</t>
    </r>
    <rPh sb="0" eb="1">
      <t>ヒョウ</t>
    </rPh>
    <rPh sb="4" eb="5">
      <t>アツ</t>
    </rPh>
    <rPh sb="6" eb="8">
      <t>タイサク</t>
    </rPh>
    <rPh sb="8" eb="10">
      <t>ドウニュウ</t>
    </rPh>
    <rPh sb="10" eb="11">
      <t>マエ</t>
    </rPh>
    <rPh sb="12" eb="15">
      <t>レイダンボウ</t>
    </rPh>
    <rPh sb="15" eb="16">
      <t>ネツ</t>
    </rPh>
    <rPh sb="16" eb="18">
      <t>フカ</t>
    </rPh>
    <rPh sb="18" eb="20">
      <t>ケイサン</t>
    </rPh>
    <phoneticPr fontId="2"/>
  </si>
  <si>
    <r>
      <rPr>
        <sz val="11"/>
        <color theme="1"/>
        <rFont val="ＭＳ Ｐゴシック"/>
        <family val="2"/>
      </rPr>
      <t>種別</t>
    </r>
    <rPh sb="0" eb="2">
      <t>シュベツ</t>
    </rPh>
    <phoneticPr fontId="2"/>
  </si>
  <si>
    <r>
      <rPr>
        <sz val="11"/>
        <color theme="1"/>
        <rFont val="ＭＳ Ｐゴシック"/>
        <family val="2"/>
      </rPr>
      <t>共通事項</t>
    </r>
    <rPh sb="0" eb="2">
      <t>キョウツウ</t>
    </rPh>
    <rPh sb="2" eb="4">
      <t>ジコウ</t>
    </rPh>
    <phoneticPr fontId="2"/>
  </si>
  <si>
    <r>
      <rPr>
        <sz val="11"/>
        <color theme="1"/>
        <rFont val="ＭＳ Ｐゴシック"/>
        <family val="2"/>
      </rPr>
      <t>冷房負荷</t>
    </r>
    <rPh sb="0" eb="2">
      <t>レイボウ</t>
    </rPh>
    <rPh sb="2" eb="4">
      <t>フカ</t>
    </rPh>
    <phoneticPr fontId="2"/>
  </si>
  <si>
    <r>
      <rPr>
        <sz val="11"/>
        <color theme="1"/>
        <rFont val="ＭＳ Ｐゴシック"/>
        <family val="2"/>
      </rPr>
      <t>暖房負荷</t>
    </r>
    <rPh sb="0" eb="2">
      <t>ダンボウ</t>
    </rPh>
    <rPh sb="2" eb="4">
      <t>フカ</t>
    </rPh>
    <phoneticPr fontId="2"/>
  </si>
  <si>
    <r>
      <t>9</t>
    </r>
    <r>
      <rPr>
        <sz val="11"/>
        <color theme="1"/>
        <rFont val="ＭＳ Ｐゴシック"/>
        <family val="2"/>
      </rPr>
      <t>時</t>
    </r>
    <rPh sb="1" eb="2">
      <t>ジ</t>
    </rPh>
    <phoneticPr fontId="2"/>
  </si>
  <si>
    <r>
      <t>12</t>
    </r>
    <r>
      <rPr>
        <sz val="11"/>
        <color theme="1"/>
        <rFont val="ＭＳ Ｐゴシック"/>
        <family val="2"/>
      </rPr>
      <t>時</t>
    </r>
    <rPh sb="2" eb="3">
      <t>ジ</t>
    </rPh>
    <phoneticPr fontId="2"/>
  </si>
  <si>
    <r>
      <t>15</t>
    </r>
    <r>
      <rPr>
        <sz val="11"/>
        <color theme="1"/>
        <rFont val="ＭＳ Ｐゴシック"/>
        <family val="2"/>
      </rPr>
      <t>時</t>
    </r>
    <rPh sb="2" eb="3">
      <t>ジ</t>
    </rPh>
    <phoneticPr fontId="2"/>
  </si>
  <si>
    <r>
      <rPr>
        <sz val="11"/>
        <color theme="1"/>
        <rFont val="ＭＳ Ｐゴシック"/>
        <family val="2"/>
      </rPr>
      <t>温度差</t>
    </r>
    <rPh sb="0" eb="3">
      <t>オンドサ</t>
    </rPh>
    <phoneticPr fontId="2"/>
  </si>
  <si>
    <r>
      <rPr>
        <sz val="11"/>
        <color theme="1"/>
        <rFont val="ＭＳ Ｐゴシック"/>
        <family val="2"/>
      </rPr>
      <t>方位係数</t>
    </r>
    <rPh sb="0" eb="2">
      <t>ホウイ</t>
    </rPh>
    <rPh sb="2" eb="4">
      <t>ケイスウ</t>
    </rPh>
    <phoneticPr fontId="2"/>
  </si>
  <si>
    <r>
      <rPr>
        <sz val="11"/>
        <color theme="1"/>
        <rFont val="ＭＳ Ｐゴシック"/>
        <family val="2"/>
      </rPr>
      <t>方位
係数</t>
    </r>
    <rPh sb="0" eb="2">
      <t>ホウイ</t>
    </rPh>
    <rPh sb="3" eb="5">
      <t>ケイスウ</t>
    </rPh>
    <phoneticPr fontId="2"/>
  </si>
  <si>
    <r>
      <rPr>
        <sz val="11"/>
        <color theme="1"/>
        <rFont val="ＭＳ Ｐゴシック"/>
        <family val="2"/>
      </rPr>
      <t>温度差</t>
    </r>
    <rPh sb="0" eb="2">
      <t>オンド</t>
    </rPh>
    <rPh sb="2" eb="3">
      <t>サ</t>
    </rPh>
    <phoneticPr fontId="2"/>
  </si>
  <si>
    <r>
      <rPr>
        <sz val="11"/>
        <color theme="1"/>
        <rFont val="ＭＳ Ｐゴシック"/>
        <family val="2"/>
      </rPr>
      <t>実効温度差</t>
    </r>
    <rPh sb="0" eb="2">
      <t>ジッコウ</t>
    </rPh>
    <rPh sb="2" eb="5">
      <t>オンドサ</t>
    </rPh>
    <phoneticPr fontId="2"/>
  </si>
  <si>
    <r>
      <rPr>
        <sz val="11"/>
        <color theme="1"/>
        <rFont val="ＭＳ Ｐゴシック"/>
        <family val="2"/>
      </rPr>
      <t>℃</t>
    </r>
    <phoneticPr fontId="2"/>
  </si>
  <si>
    <r>
      <rPr>
        <sz val="11"/>
        <color theme="1"/>
        <rFont val="ＭＳ Ｐゴシック"/>
        <family val="2"/>
      </rPr>
      <t>－</t>
    </r>
    <phoneticPr fontId="2"/>
  </si>
  <si>
    <r>
      <rPr>
        <sz val="11"/>
        <color theme="1"/>
        <rFont val="ＭＳ Ｐゴシック"/>
        <family val="2"/>
      </rPr>
      <t>熱貫流</t>
    </r>
    <rPh sb="0" eb="1">
      <t>ネツ</t>
    </rPh>
    <rPh sb="1" eb="3">
      <t>カンリュウ</t>
    </rPh>
    <phoneticPr fontId="2"/>
  </si>
  <si>
    <r>
      <rPr>
        <sz val="11"/>
        <color theme="1"/>
        <rFont val="ＭＳ Ｐゴシック"/>
        <family val="2"/>
      </rPr>
      <t>－</t>
    </r>
    <phoneticPr fontId="2"/>
  </si>
  <si>
    <r>
      <rPr>
        <sz val="11"/>
        <color theme="1"/>
        <rFont val="ＭＳ Ｐゴシック"/>
        <family val="2"/>
      </rPr>
      <t>標準日射取得</t>
    </r>
    <rPh sb="0" eb="2">
      <t>ヒョウジュン</t>
    </rPh>
    <rPh sb="2" eb="4">
      <t>ニッシャ</t>
    </rPh>
    <rPh sb="4" eb="6">
      <t>シュトク</t>
    </rPh>
    <phoneticPr fontId="2"/>
  </si>
  <si>
    <r>
      <rPr>
        <sz val="11"/>
        <color theme="1"/>
        <rFont val="ＭＳ Ｐゴシック"/>
        <family val="2"/>
      </rPr>
      <t>－</t>
    </r>
    <phoneticPr fontId="2"/>
  </si>
  <si>
    <r>
      <rPr>
        <sz val="11"/>
        <color theme="1"/>
        <rFont val="ＭＳ Ｐゴシック"/>
        <family val="2"/>
      </rPr>
      <t>日射</t>
    </r>
    <rPh sb="0" eb="2">
      <t>ニッシャ</t>
    </rPh>
    <phoneticPr fontId="2"/>
  </si>
  <si>
    <r>
      <rPr>
        <sz val="11"/>
        <color theme="1"/>
        <rFont val="ＭＳ Ｐゴシック"/>
        <family val="2"/>
      </rPr>
      <t>合計</t>
    </r>
    <rPh sb="0" eb="2">
      <t>ゴウケイ</t>
    </rPh>
    <phoneticPr fontId="2"/>
  </si>
  <si>
    <r>
      <rPr>
        <b/>
        <sz val="14"/>
        <color theme="1"/>
        <rFont val="ＭＳ Ｐゴシック"/>
        <family val="3"/>
        <charset val="128"/>
      </rPr>
      <t>表－２　暑さ対策導入後の冷暖房熱負荷計算</t>
    </r>
    <rPh sb="0" eb="1">
      <t>ヒョウ</t>
    </rPh>
    <rPh sb="4" eb="5">
      <t>アツ</t>
    </rPh>
    <rPh sb="6" eb="8">
      <t>タイサク</t>
    </rPh>
    <rPh sb="8" eb="10">
      <t>ドウニュウ</t>
    </rPh>
    <rPh sb="10" eb="11">
      <t>ゴ</t>
    </rPh>
    <rPh sb="12" eb="15">
      <t>レイダンボウ</t>
    </rPh>
    <rPh sb="15" eb="16">
      <t>ネツ</t>
    </rPh>
    <rPh sb="16" eb="18">
      <t>フカ</t>
    </rPh>
    <rPh sb="18" eb="20">
      <t>ケイサン</t>
    </rPh>
    <phoneticPr fontId="2"/>
  </si>
  <si>
    <r>
      <rPr>
        <b/>
        <sz val="14"/>
        <color theme="1"/>
        <rFont val="ＭＳ Ｐゴシック"/>
        <family val="3"/>
        <charset val="128"/>
      </rPr>
      <t>表－３　暑さ対策前後の冷暖房熱負荷削減量</t>
    </r>
    <rPh sb="0" eb="1">
      <t>ヒョウ</t>
    </rPh>
    <rPh sb="4" eb="5">
      <t>アツ</t>
    </rPh>
    <rPh sb="6" eb="8">
      <t>タイサク</t>
    </rPh>
    <rPh sb="8" eb="10">
      <t>ゼンゴ</t>
    </rPh>
    <rPh sb="11" eb="14">
      <t>レイダンボウ</t>
    </rPh>
    <rPh sb="14" eb="15">
      <t>ネツ</t>
    </rPh>
    <rPh sb="15" eb="17">
      <t>フカ</t>
    </rPh>
    <rPh sb="17" eb="19">
      <t>サクゲン</t>
    </rPh>
    <rPh sb="19" eb="20">
      <t>リョウ</t>
    </rPh>
    <phoneticPr fontId="2"/>
  </si>
  <si>
    <r>
      <rPr>
        <sz val="11"/>
        <color theme="1"/>
        <rFont val="ＭＳ Ｐゴシック"/>
        <family val="3"/>
        <charset val="128"/>
      </rPr>
      <t>冷房負荷（</t>
    </r>
    <r>
      <rPr>
        <sz val="11"/>
        <color theme="1"/>
        <rFont val="Arial"/>
        <family val="2"/>
      </rPr>
      <t>W)</t>
    </r>
    <rPh sb="0" eb="2">
      <t>レイボウ</t>
    </rPh>
    <rPh sb="2" eb="4">
      <t>フカ</t>
    </rPh>
    <phoneticPr fontId="2"/>
  </si>
  <si>
    <r>
      <rPr>
        <sz val="11"/>
        <color theme="1"/>
        <rFont val="ＭＳ Ｐゴシック"/>
        <family val="3"/>
        <charset val="128"/>
      </rPr>
      <t>暖房負荷（</t>
    </r>
    <r>
      <rPr>
        <sz val="11"/>
        <color theme="1"/>
        <rFont val="Arial"/>
        <family val="2"/>
      </rPr>
      <t>W)</t>
    </r>
    <rPh sb="0" eb="2">
      <t>ダンボウ</t>
    </rPh>
    <rPh sb="2" eb="4">
      <t>フカ</t>
    </rPh>
    <phoneticPr fontId="2"/>
  </si>
  <si>
    <r>
      <t>9</t>
    </r>
    <r>
      <rPr>
        <sz val="11"/>
        <color theme="1"/>
        <rFont val="ＭＳ Ｐゴシック"/>
        <family val="3"/>
        <charset val="128"/>
      </rPr>
      <t>時</t>
    </r>
    <rPh sb="1" eb="2">
      <t>ジ</t>
    </rPh>
    <phoneticPr fontId="2"/>
  </si>
  <si>
    <r>
      <t>12</t>
    </r>
    <r>
      <rPr>
        <sz val="11"/>
        <color theme="1"/>
        <rFont val="ＭＳ Ｐゴシック"/>
        <family val="3"/>
        <charset val="128"/>
      </rPr>
      <t>時</t>
    </r>
    <rPh sb="2" eb="3">
      <t>ジ</t>
    </rPh>
    <phoneticPr fontId="2"/>
  </si>
  <si>
    <r>
      <t>15</t>
    </r>
    <r>
      <rPr>
        <sz val="11"/>
        <color theme="1"/>
        <rFont val="ＭＳ Ｐゴシック"/>
        <family val="3"/>
        <charset val="128"/>
      </rPr>
      <t>時</t>
    </r>
    <rPh sb="2" eb="3">
      <t>ジ</t>
    </rPh>
    <phoneticPr fontId="2"/>
  </si>
  <si>
    <r>
      <rPr>
        <sz val="11"/>
        <color theme="1"/>
        <rFont val="ＭＳ Ｐゴシック"/>
        <family val="3"/>
        <charset val="128"/>
      </rPr>
      <t>表－１の結果</t>
    </r>
    <rPh sb="0" eb="1">
      <t>ヒョウ</t>
    </rPh>
    <rPh sb="4" eb="6">
      <t>ケッカ</t>
    </rPh>
    <phoneticPr fontId="2"/>
  </si>
  <si>
    <r>
      <rPr>
        <sz val="11"/>
        <color theme="1"/>
        <rFont val="ＭＳ Ｐゴシック"/>
        <family val="3"/>
        <charset val="128"/>
      </rPr>
      <t>表－２の結果</t>
    </r>
    <rPh sb="0" eb="1">
      <t>ヒョウ</t>
    </rPh>
    <rPh sb="4" eb="6">
      <t>ケッカ</t>
    </rPh>
    <phoneticPr fontId="2"/>
  </si>
  <si>
    <r>
      <rPr>
        <sz val="11"/>
        <color theme="1"/>
        <rFont val="ＭＳ Ｐゴシック"/>
        <family val="3"/>
        <charset val="128"/>
      </rPr>
      <t>削減が見込める熱量</t>
    </r>
    <rPh sb="0" eb="2">
      <t>サクゲン</t>
    </rPh>
    <rPh sb="3" eb="5">
      <t>ミコ</t>
    </rPh>
    <rPh sb="7" eb="9">
      <t>ネツリョウ</t>
    </rPh>
    <phoneticPr fontId="2"/>
  </si>
  <si>
    <r>
      <rPr>
        <sz val="11"/>
        <color theme="1"/>
        <rFont val="ＭＳ Ｐゴシック"/>
        <family val="3"/>
        <charset val="128"/>
      </rPr>
      <t>採用値</t>
    </r>
    <rPh sb="0" eb="2">
      <t>サイヨウ</t>
    </rPh>
    <rPh sb="2" eb="3">
      <t>アタイ</t>
    </rPh>
    <phoneticPr fontId="2"/>
  </si>
  <si>
    <r>
      <rPr>
        <sz val="11"/>
        <color theme="1"/>
        <rFont val="ＭＳ Ｐゴシック"/>
        <family val="2"/>
      </rPr>
      <t>導入前</t>
    </r>
    <r>
      <rPr>
        <sz val="11"/>
        <color theme="1"/>
        <rFont val="Arial"/>
        <family val="2"/>
      </rPr>
      <t xml:space="preserve"> </t>
    </r>
    <r>
      <rPr>
        <sz val="11"/>
        <color theme="1"/>
        <rFont val="ＭＳ Ｐゴシック"/>
        <family val="2"/>
      </rPr>
      <t>推定空調電力量</t>
    </r>
    <rPh sb="0" eb="2">
      <t>ドウニュウ</t>
    </rPh>
    <rPh sb="2" eb="3">
      <t>マエ</t>
    </rPh>
    <rPh sb="4" eb="6">
      <t>スイテイ</t>
    </rPh>
    <rPh sb="6" eb="8">
      <t>クウチョウ</t>
    </rPh>
    <rPh sb="8" eb="10">
      <t>デンリョク</t>
    </rPh>
    <rPh sb="10" eb="11">
      <t>リョウ</t>
    </rPh>
    <phoneticPr fontId="2"/>
  </si>
  <si>
    <r>
      <rPr>
        <sz val="11"/>
        <color theme="1"/>
        <rFont val="ＭＳ Ｐゴシック"/>
        <family val="2"/>
      </rPr>
      <t>導入後</t>
    </r>
    <r>
      <rPr>
        <sz val="11"/>
        <color theme="1"/>
        <rFont val="Arial"/>
        <family val="2"/>
      </rPr>
      <t xml:space="preserve"> </t>
    </r>
    <r>
      <rPr>
        <sz val="11"/>
        <color theme="1"/>
        <rFont val="ＭＳ Ｐゴシック"/>
        <family val="2"/>
      </rPr>
      <t>推定空調電力量</t>
    </r>
    <rPh sb="0" eb="2">
      <t>ドウニュウ</t>
    </rPh>
    <rPh sb="2" eb="3">
      <t>ゴ</t>
    </rPh>
    <rPh sb="4" eb="6">
      <t>スイテイ</t>
    </rPh>
    <rPh sb="6" eb="8">
      <t>クウチョウ</t>
    </rPh>
    <rPh sb="8" eb="10">
      <t>デンリョク</t>
    </rPh>
    <rPh sb="10" eb="11">
      <t>リョウ</t>
    </rPh>
    <phoneticPr fontId="2"/>
  </si>
  <si>
    <t>×</t>
    <phoneticPr fontId="2"/>
  </si>
  <si>
    <t>×</t>
    <phoneticPr fontId="2"/>
  </si>
  <si>
    <r>
      <rPr>
        <sz val="10"/>
        <color theme="1"/>
        <rFont val="ＭＳ Ｐゴシック"/>
        <family val="2"/>
      </rPr>
      <t>方位</t>
    </r>
    <rPh sb="0" eb="2">
      <t>ホウイ</t>
    </rPh>
    <phoneticPr fontId="2"/>
  </si>
  <si>
    <r>
      <rPr>
        <sz val="10"/>
        <color theme="1"/>
        <rFont val="ＭＳ Ｐゴシック"/>
        <family val="2"/>
      </rPr>
      <t>外壁熱貫流率</t>
    </r>
    <rPh sb="0" eb="2">
      <t>ガイヘキ</t>
    </rPh>
    <phoneticPr fontId="2"/>
  </si>
  <si>
    <r>
      <rPr>
        <sz val="10"/>
        <color theme="1"/>
        <rFont val="ＭＳ Ｐゴシック"/>
        <family val="2"/>
      </rPr>
      <t>日射熱吸収率</t>
    </r>
    <rPh sb="2" eb="3">
      <t>ネツ</t>
    </rPh>
    <phoneticPr fontId="2"/>
  </si>
  <si>
    <r>
      <rPr>
        <sz val="10"/>
        <color theme="1"/>
        <rFont val="ＭＳ Ｐゴシック"/>
        <family val="2"/>
      </rPr>
      <t>熱貫流率</t>
    </r>
    <rPh sb="0" eb="1">
      <t>ネツ</t>
    </rPh>
    <rPh sb="1" eb="3">
      <t>カンリュウ</t>
    </rPh>
    <rPh sb="3" eb="4">
      <t>リツ</t>
    </rPh>
    <phoneticPr fontId="2"/>
  </si>
  <si>
    <r>
      <rPr>
        <sz val="10"/>
        <color theme="1"/>
        <rFont val="ＭＳ Ｐゴシック"/>
        <family val="2"/>
      </rPr>
      <t>遮熱係数</t>
    </r>
    <rPh sb="0" eb="2">
      <t>シャネツ</t>
    </rPh>
    <rPh sb="2" eb="4">
      <t>ケイスウ</t>
    </rPh>
    <phoneticPr fontId="2"/>
  </si>
  <si>
    <t>本店所在地</t>
    <rPh sb="0" eb="2">
      <t>ホンテン</t>
    </rPh>
    <rPh sb="2" eb="5">
      <t>ショザイチ</t>
    </rPh>
    <phoneticPr fontId="22"/>
  </si>
  <si>
    <t>資本金
（出資金額）</t>
    <rPh sb="0" eb="3">
      <t>シホンキン</t>
    </rPh>
    <rPh sb="5" eb="8">
      <t>シュッシキン</t>
    </rPh>
    <rPh sb="8" eb="9">
      <t>ガク</t>
    </rPh>
    <phoneticPr fontId="22"/>
  </si>
  <si>
    <t>氏名又は名称</t>
    <rPh sb="0" eb="2">
      <t>シメイ</t>
    </rPh>
    <rPh sb="2" eb="3">
      <t>マタ</t>
    </rPh>
    <rPh sb="4" eb="6">
      <t>メイショウ</t>
    </rPh>
    <phoneticPr fontId="22"/>
  </si>
  <si>
    <t>円</t>
    <rPh sb="0" eb="1">
      <t>エン</t>
    </rPh>
    <phoneticPr fontId="2"/>
  </si>
  <si>
    <t>みなし大企業
に該当の有無</t>
    <rPh sb="3" eb="6">
      <t>ダイキギョウ</t>
    </rPh>
    <rPh sb="8" eb="10">
      <t>ガイトウ</t>
    </rPh>
    <rPh sb="11" eb="13">
      <t>ウム</t>
    </rPh>
    <phoneticPr fontId="22"/>
  </si>
  <si>
    <t>人</t>
    <rPh sb="0" eb="1">
      <t>ニン</t>
    </rPh>
    <phoneticPr fontId="2"/>
  </si>
  <si>
    <t>※ 見積書の合計額（税抜額）と一致させること</t>
    <rPh sb="2" eb="5">
      <t>ミツモリショ</t>
    </rPh>
    <rPh sb="6" eb="8">
      <t>ゴウケイ</t>
    </rPh>
    <rPh sb="8" eb="9">
      <t>ガク</t>
    </rPh>
    <rPh sb="10" eb="11">
      <t>ゼイ</t>
    </rPh>
    <rPh sb="11" eb="12">
      <t>ヌ</t>
    </rPh>
    <rPh sb="12" eb="13">
      <t>ガク</t>
    </rPh>
    <rPh sb="15" eb="17">
      <t>イッチ</t>
    </rPh>
    <phoneticPr fontId="22"/>
  </si>
  <si>
    <t>※ 見積書の合計額（税込額）と一致すること</t>
    <rPh sb="2" eb="5">
      <t>ミツモリショ</t>
    </rPh>
    <rPh sb="6" eb="8">
      <t>ゴウケイ</t>
    </rPh>
    <rPh sb="8" eb="9">
      <t>ガク</t>
    </rPh>
    <rPh sb="10" eb="12">
      <t>ゼイコミ</t>
    </rPh>
    <rPh sb="12" eb="13">
      <t>ガク</t>
    </rPh>
    <rPh sb="15" eb="17">
      <t>イッチ</t>
    </rPh>
    <phoneticPr fontId="22"/>
  </si>
  <si>
    <t>①上限額</t>
    <rPh sb="1" eb="4">
      <t>ジョウゲンガク</t>
    </rPh>
    <phoneticPr fontId="22"/>
  </si>
  <si>
    <t>計(A)</t>
    <rPh sb="0" eb="1">
      <t>ケイ</t>
    </rPh>
    <phoneticPr fontId="22"/>
  </si>
  <si>
    <t>②補助対象経費の１／３</t>
    <rPh sb="1" eb="3">
      <t>ホジョ</t>
    </rPh>
    <rPh sb="3" eb="5">
      <t>タイショウ</t>
    </rPh>
    <rPh sb="5" eb="7">
      <t>ケイヒ</t>
    </rPh>
    <phoneticPr fontId="2"/>
  </si>
  <si>
    <t>(A)</t>
    <phoneticPr fontId="2"/>
  </si>
  <si>
    <t>①、②の低い額</t>
    <rPh sb="4" eb="5">
      <t>ヒク</t>
    </rPh>
    <rPh sb="6" eb="7">
      <t>ガク</t>
    </rPh>
    <phoneticPr fontId="2"/>
  </si>
  <si>
    <r>
      <rPr>
        <sz val="11"/>
        <color theme="1"/>
        <rFont val="ＭＳ Ｐゴシック"/>
        <family val="3"/>
        <charset val="128"/>
      </rPr>
      <t>屋根</t>
    </r>
    <r>
      <rPr>
        <sz val="11"/>
        <color theme="1"/>
        <rFont val="Arial"/>
        <family val="3"/>
      </rPr>
      <t xml:space="preserve"> </t>
    </r>
    <r>
      <rPr>
        <sz val="11"/>
        <color theme="1"/>
        <rFont val="ＭＳ Ｐゴシック"/>
        <family val="3"/>
        <charset val="128"/>
      </rPr>
      <t>表－１の結果</t>
    </r>
    <rPh sb="0" eb="2">
      <t>ヤネ</t>
    </rPh>
    <rPh sb="3" eb="4">
      <t>ヒョウ</t>
    </rPh>
    <rPh sb="7" eb="9">
      <t>ケッカ</t>
    </rPh>
    <phoneticPr fontId="2"/>
  </si>
  <si>
    <t>屋根　表－２の結果</t>
    <rPh sb="0" eb="2">
      <t>ヤネ</t>
    </rPh>
    <rPh sb="3" eb="4">
      <t>ヒョウ</t>
    </rPh>
    <rPh sb="7" eb="9">
      <t>ケッカ</t>
    </rPh>
    <phoneticPr fontId="2"/>
  </si>
  <si>
    <r>
      <rPr>
        <sz val="11"/>
        <color theme="1"/>
        <rFont val="ＭＳ ゴシック"/>
        <family val="3"/>
        <charset val="128"/>
      </rPr>
      <t>外壁</t>
    </r>
    <r>
      <rPr>
        <sz val="11"/>
        <color theme="1"/>
        <rFont val="Arial"/>
        <family val="3"/>
      </rPr>
      <t xml:space="preserve"> </t>
    </r>
    <r>
      <rPr>
        <sz val="11"/>
        <color theme="1"/>
        <rFont val="ＭＳ Ｐゴシック"/>
        <family val="3"/>
        <charset val="128"/>
      </rPr>
      <t>表－１の結果</t>
    </r>
    <rPh sb="0" eb="2">
      <t>ガイヘキ</t>
    </rPh>
    <rPh sb="3" eb="4">
      <t>ヒョウ</t>
    </rPh>
    <rPh sb="7" eb="9">
      <t>ケッカ</t>
    </rPh>
    <phoneticPr fontId="2"/>
  </si>
  <si>
    <t>外壁　表－２の結果</t>
    <rPh sb="0" eb="1">
      <t>ソト</t>
    </rPh>
    <rPh sb="1" eb="2">
      <t>ヘキ</t>
    </rPh>
    <rPh sb="3" eb="4">
      <t>ヒョウ</t>
    </rPh>
    <rPh sb="7" eb="9">
      <t>ケッカ</t>
    </rPh>
    <phoneticPr fontId="2"/>
  </si>
  <si>
    <r>
      <rPr>
        <sz val="11"/>
        <color theme="1"/>
        <rFont val="ＭＳ ゴシック"/>
        <family val="3"/>
        <charset val="128"/>
      </rPr>
      <t>窓</t>
    </r>
    <r>
      <rPr>
        <sz val="11"/>
        <color theme="1"/>
        <rFont val="Arial"/>
        <family val="3"/>
      </rPr>
      <t xml:space="preserve"> </t>
    </r>
    <r>
      <rPr>
        <sz val="11"/>
        <color theme="1"/>
        <rFont val="ＭＳ Ｐゴシック"/>
        <family val="3"/>
        <charset val="128"/>
      </rPr>
      <t>表－１の結果</t>
    </r>
    <rPh sb="0" eb="1">
      <t>マド</t>
    </rPh>
    <rPh sb="2" eb="3">
      <t>ヒョウ</t>
    </rPh>
    <rPh sb="6" eb="8">
      <t>ケッカ</t>
    </rPh>
    <phoneticPr fontId="2"/>
  </si>
  <si>
    <t>窓　表－２の結果</t>
    <rPh sb="0" eb="1">
      <t>マド</t>
    </rPh>
    <rPh sb="2" eb="3">
      <t>ヒョウ</t>
    </rPh>
    <rPh sb="6" eb="8">
      <t>ケッカ</t>
    </rPh>
    <phoneticPr fontId="2"/>
  </si>
  <si>
    <r>
      <rPr>
        <sz val="16"/>
        <color theme="1"/>
        <rFont val="Segoe UI Symbol"/>
        <family val="2"/>
      </rPr>
      <t>●</t>
    </r>
    <r>
      <rPr>
        <sz val="16"/>
        <color theme="1"/>
        <rFont val="ＭＳ ゴシック"/>
        <family val="2"/>
        <charset val="128"/>
      </rPr>
      <t>外壁</t>
    </r>
    <rPh sb="1" eb="3">
      <t>ガイヘキ</t>
    </rPh>
    <phoneticPr fontId="2"/>
  </si>
  <si>
    <t>屋根</t>
    <rPh sb="0" eb="2">
      <t>ヤネ</t>
    </rPh>
    <phoneticPr fontId="2"/>
  </si>
  <si>
    <t>外壁</t>
    <rPh sb="0" eb="2">
      <t>ガイヘキ</t>
    </rPh>
    <phoneticPr fontId="2"/>
  </si>
  <si>
    <t>窓</t>
    <rPh sb="0" eb="1">
      <t>マド</t>
    </rPh>
    <phoneticPr fontId="2"/>
  </si>
  <si>
    <t>施工箇所別</t>
    <rPh sb="0" eb="2">
      <t>セコウ</t>
    </rPh>
    <rPh sb="2" eb="4">
      <t>カショ</t>
    </rPh>
    <rPh sb="4" eb="5">
      <t>ベツ</t>
    </rPh>
    <phoneticPr fontId="2"/>
  </si>
  <si>
    <r>
      <t>t-CO</t>
    </r>
    <r>
      <rPr>
        <vertAlign val="subscript"/>
        <sz val="10"/>
        <color indexed="8"/>
        <rFont val="ＭＳ Ｐゴシック"/>
        <family val="3"/>
        <charset val="128"/>
      </rPr>
      <t>3/年</t>
    </r>
    <r>
      <rPr>
        <sz val="10"/>
        <color indexed="8"/>
        <rFont val="ＭＳ Ｐゴシック"/>
        <family val="3"/>
        <charset val="128"/>
      </rPr>
      <t/>
    </r>
    <rPh sb="6" eb="7">
      <t>ネン</t>
    </rPh>
    <phoneticPr fontId="22"/>
  </si>
  <si>
    <r>
      <rPr>
        <sz val="11"/>
        <color theme="1"/>
        <rFont val="ＭＳ Ｐゴシック"/>
        <family val="2"/>
      </rPr>
      <t>導入後</t>
    </r>
    <r>
      <rPr>
        <sz val="11"/>
        <color theme="1"/>
        <rFont val="Arial"/>
        <family val="2"/>
      </rPr>
      <t xml:space="preserve"> CO</t>
    </r>
    <r>
      <rPr>
        <sz val="11"/>
        <color theme="1"/>
        <rFont val="MS UI Gothic"/>
        <family val="2"/>
        <charset val="1"/>
      </rPr>
      <t>₂</t>
    </r>
    <r>
      <rPr>
        <sz val="11"/>
        <color theme="1"/>
        <rFont val="MS UI Gothic"/>
        <family val="2"/>
        <charset val="128"/>
      </rPr>
      <t>排出量</t>
    </r>
    <rPh sb="0" eb="2">
      <t>ドウニュウ</t>
    </rPh>
    <rPh sb="2" eb="3">
      <t>ゴ</t>
    </rPh>
    <rPh sb="7" eb="9">
      <t>ハイシュツ</t>
    </rPh>
    <rPh sb="9" eb="10">
      <t>リョウ</t>
    </rPh>
    <phoneticPr fontId="2"/>
  </si>
  <si>
    <r>
      <rPr>
        <sz val="11"/>
        <color theme="1"/>
        <rFont val="ＭＳ Ｐゴシック"/>
        <family val="2"/>
      </rPr>
      <t>導入前</t>
    </r>
    <r>
      <rPr>
        <sz val="11"/>
        <color theme="1"/>
        <rFont val="Arial"/>
        <family val="2"/>
      </rPr>
      <t xml:space="preserve"> CO</t>
    </r>
    <r>
      <rPr>
        <sz val="11"/>
        <color theme="1"/>
        <rFont val="MS UI Gothic"/>
        <family val="2"/>
        <charset val="1"/>
      </rPr>
      <t>₂</t>
    </r>
    <r>
      <rPr>
        <sz val="11"/>
        <color theme="1"/>
        <rFont val="MS UI Gothic"/>
        <family val="2"/>
        <charset val="128"/>
      </rPr>
      <t>排出量</t>
    </r>
    <rPh sb="0" eb="2">
      <t>ドウニュウ</t>
    </rPh>
    <rPh sb="2" eb="3">
      <t>マエ</t>
    </rPh>
    <rPh sb="7" eb="9">
      <t>ハイシュツ</t>
    </rPh>
    <rPh sb="9" eb="10">
      <t>リョウ</t>
    </rPh>
    <phoneticPr fontId="2"/>
  </si>
  <si>
    <r>
      <t>t-CO</t>
    </r>
    <r>
      <rPr>
        <sz val="11"/>
        <color theme="1"/>
        <rFont val="MS UI Gothic"/>
        <family val="2"/>
        <charset val="1"/>
      </rPr>
      <t>₂</t>
    </r>
    <r>
      <rPr>
        <sz val="11"/>
        <color theme="1"/>
        <rFont val="Arial"/>
        <family val="2"/>
      </rPr>
      <t>/</t>
    </r>
    <r>
      <rPr>
        <sz val="11"/>
        <color theme="1"/>
        <rFont val="ＭＳ Ｐゴシック"/>
        <family val="2"/>
      </rPr>
      <t>年</t>
    </r>
    <rPh sb="6" eb="7">
      <t>ネン</t>
    </rPh>
    <phoneticPr fontId="2"/>
  </si>
  <si>
    <t>法定耐用年数CO₂排出削減量</t>
  </si>
  <si>
    <r>
      <t>t-CO</t>
    </r>
    <r>
      <rPr>
        <vertAlign val="subscript"/>
        <sz val="10"/>
        <color indexed="8"/>
        <rFont val="ＭＳ Ｐゴシック"/>
        <family val="3"/>
        <charset val="128"/>
      </rPr>
      <t>2</t>
    </r>
    <phoneticPr fontId="22"/>
  </si>
  <si>
    <t>原油換算チェックシート</t>
    <rPh sb="0" eb="2">
      <t>ゲンユ</t>
    </rPh>
    <rPh sb="2" eb="4">
      <t>カンサン</t>
    </rPh>
    <phoneticPr fontId="22"/>
  </si>
  <si>
    <t>種類</t>
    <rPh sb="0" eb="2">
      <t>シュルイ</t>
    </rPh>
    <phoneticPr fontId="22"/>
  </si>
  <si>
    <t>単位</t>
    <phoneticPr fontId="22"/>
  </si>
  <si>
    <t>年間エネルギー使用量</t>
    <rPh sb="0" eb="2">
      <t>ネンカン</t>
    </rPh>
    <rPh sb="7" eb="10">
      <t>シヨウリョウ</t>
    </rPh>
    <phoneticPr fontId="22"/>
  </si>
  <si>
    <t>単位当たり
発熱量</t>
    <rPh sb="0" eb="2">
      <t>タンイ</t>
    </rPh>
    <rPh sb="2" eb="3">
      <t>ア</t>
    </rPh>
    <rPh sb="6" eb="9">
      <t>ハツネツリョウ</t>
    </rPh>
    <phoneticPr fontId="22"/>
  </si>
  <si>
    <t>熱量</t>
    <phoneticPr fontId="22"/>
  </si>
  <si>
    <t>原油換算</t>
    <rPh sb="0" eb="2">
      <t>ゲンユ</t>
    </rPh>
    <rPh sb="2" eb="4">
      <t>カンサン</t>
    </rPh>
    <phoneticPr fontId="22"/>
  </si>
  <si>
    <t>原油換算係数</t>
    <rPh sb="0" eb="2">
      <t>ゲンユ</t>
    </rPh>
    <rPh sb="2" eb="4">
      <t>カンサン</t>
    </rPh>
    <rPh sb="4" eb="6">
      <t>ケイスウ</t>
    </rPh>
    <phoneticPr fontId="22"/>
  </si>
  <si>
    <t>原油換算使用量</t>
    <rPh sb="0" eb="2">
      <t>ゲンユ</t>
    </rPh>
    <rPh sb="2" eb="4">
      <t>カンサン</t>
    </rPh>
    <rPh sb="4" eb="7">
      <t>シヨウリョウ</t>
    </rPh>
    <phoneticPr fontId="22"/>
  </si>
  <si>
    <t>①</t>
    <phoneticPr fontId="22"/>
  </si>
  <si>
    <t>②</t>
    <phoneticPr fontId="22"/>
  </si>
  <si>
    <t>③=①×②</t>
    <phoneticPr fontId="22"/>
  </si>
  <si>
    <t>④</t>
    <phoneticPr fontId="22"/>
  </si>
  <si>
    <t>⑤=①×②×④</t>
    <phoneticPr fontId="22"/>
  </si>
  <si>
    <t>各年の使用量数値を記入する。(単位に注意）</t>
    <rPh sb="0" eb="1">
      <t>カク</t>
    </rPh>
    <rPh sb="1" eb="2">
      <t>トシ</t>
    </rPh>
    <rPh sb="3" eb="6">
      <t>シヨウリョウ</t>
    </rPh>
    <rPh sb="6" eb="8">
      <t>スウチ</t>
    </rPh>
    <rPh sb="9" eb="11">
      <t>キニュウ</t>
    </rPh>
    <rPh sb="15" eb="17">
      <t>タンイ</t>
    </rPh>
    <rPh sb="18" eb="20">
      <t>チュウイ</t>
    </rPh>
    <phoneticPr fontId="22"/>
  </si>
  <si>
    <t>単位</t>
    <rPh sb="0" eb="2">
      <t>タンイ</t>
    </rPh>
    <phoneticPr fontId="22"/>
  </si>
  <si>
    <t>エネルギー使用量換算</t>
    <rPh sb="5" eb="8">
      <t>シヨウリョウ</t>
    </rPh>
    <rPh sb="8" eb="10">
      <t>カンサン</t>
    </rPh>
    <phoneticPr fontId="36"/>
  </si>
  <si>
    <t>燃料及び熱</t>
    <phoneticPr fontId="36"/>
  </si>
  <si>
    <t>揮発油（ガソリン）</t>
    <rPh sb="0" eb="3">
      <t>キハツユ</t>
    </rPh>
    <phoneticPr fontId="22"/>
  </si>
  <si>
    <t>灯油</t>
    <rPh sb="0" eb="2">
      <t>トウユ</t>
    </rPh>
    <phoneticPr fontId="22"/>
  </si>
  <si>
    <t>軽油</t>
    <rPh sb="0" eb="2">
      <t>ケイユ</t>
    </rPh>
    <phoneticPr fontId="22"/>
  </si>
  <si>
    <t>Ａ重油</t>
    <rPh sb="1" eb="3">
      <t>ジュウユ</t>
    </rPh>
    <phoneticPr fontId="22"/>
  </si>
  <si>
    <t>液化石油ガス（ＬＰＧ）</t>
    <phoneticPr fontId="22"/>
  </si>
  <si>
    <t>液化天然ガス（LNG)</t>
    <rPh sb="0" eb="2">
      <t>エキカ</t>
    </rPh>
    <rPh sb="2" eb="4">
      <t>テンネン</t>
    </rPh>
    <phoneticPr fontId="22"/>
  </si>
  <si>
    <t>都市ガス</t>
    <rPh sb="0" eb="2">
      <t>トシ</t>
    </rPh>
    <phoneticPr fontId="22"/>
  </si>
  <si>
    <r>
      <t>千Nｍ</t>
    </r>
    <r>
      <rPr>
        <vertAlign val="superscript"/>
        <sz val="8"/>
        <rFont val="ＭＳ 明朝"/>
        <family val="1"/>
        <charset val="128"/>
      </rPr>
      <t>3</t>
    </r>
    <rPh sb="0" eb="1">
      <t>セン</t>
    </rPh>
    <phoneticPr fontId="22"/>
  </si>
  <si>
    <r>
      <t>GJ/千Nｍ</t>
    </r>
    <r>
      <rPr>
        <vertAlign val="superscript"/>
        <sz val="8"/>
        <rFont val="ＭＳ 明朝"/>
        <family val="1"/>
        <charset val="128"/>
      </rPr>
      <t>3</t>
    </r>
    <phoneticPr fontId="22"/>
  </si>
  <si>
    <t>小計</t>
    <phoneticPr fontId="22"/>
  </si>
  <si>
    <t>①</t>
  </si>
  <si>
    <t>電気</t>
    <rPh sb="0" eb="1">
      <t>デン</t>
    </rPh>
    <rPh sb="1" eb="2">
      <t>キ</t>
    </rPh>
    <phoneticPr fontId="22"/>
  </si>
  <si>
    <t>千kWh</t>
    <rPh sb="0" eb="1">
      <t>セン</t>
    </rPh>
    <phoneticPr fontId="22"/>
  </si>
  <si>
    <t>GJ/千kWh</t>
    <rPh sb="3" eb="4">
      <t>セン</t>
    </rPh>
    <phoneticPr fontId="22"/>
  </si>
  <si>
    <t>窓は、東西南北それぞれの方位について日照時間を６時間で統一する。</t>
    <rPh sb="0" eb="1">
      <t>マド</t>
    </rPh>
    <rPh sb="3" eb="5">
      <t>トウザイ</t>
    </rPh>
    <rPh sb="5" eb="7">
      <t>ナンボク</t>
    </rPh>
    <rPh sb="12" eb="14">
      <t>ホウイ</t>
    </rPh>
    <rPh sb="18" eb="20">
      <t>ニッショウ</t>
    </rPh>
    <rPh sb="20" eb="22">
      <t>ジカン</t>
    </rPh>
    <rPh sb="24" eb="26">
      <t>ジカン</t>
    </rPh>
    <rPh sb="27" eb="29">
      <t>トウイツ</t>
    </rPh>
    <phoneticPr fontId="2"/>
  </si>
  <si>
    <t>５月と１０月の冷房と暖房の振り分け比率をそれぞれ、0.5から0.25に変更</t>
    <rPh sb="1" eb="2">
      <t>ガツ</t>
    </rPh>
    <rPh sb="5" eb="6">
      <t>ガツ</t>
    </rPh>
    <rPh sb="7" eb="9">
      <t>レイボウ</t>
    </rPh>
    <rPh sb="10" eb="12">
      <t>ダンボウ</t>
    </rPh>
    <rPh sb="13" eb="14">
      <t>フ</t>
    </rPh>
    <rPh sb="15" eb="16">
      <t>ワ</t>
    </rPh>
    <rPh sb="17" eb="19">
      <t>ヒリツ</t>
    </rPh>
    <rPh sb="35" eb="37">
      <t>ヘンコウ</t>
    </rPh>
    <phoneticPr fontId="2"/>
  </si>
  <si>
    <t>小計</t>
  </si>
  <si>
    <t>小計</t>
    <rPh sb="0" eb="2">
      <t>ショウケイ</t>
    </rPh>
    <phoneticPr fontId="2"/>
  </si>
  <si>
    <t>中計</t>
    <rPh sb="0" eb="2">
      <t>チュウケイ</t>
    </rPh>
    <phoneticPr fontId="2"/>
  </si>
  <si>
    <t>窓断熱</t>
    <rPh sb="0" eb="1">
      <t>マド</t>
    </rPh>
    <rPh sb="1" eb="3">
      <t>ダンネツ</t>
    </rPh>
    <phoneticPr fontId="2"/>
  </si>
  <si>
    <t>窓遮熱</t>
    <rPh sb="0" eb="1">
      <t>マド</t>
    </rPh>
    <rPh sb="1" eb="3">
      <t>シャネツ</t>
    </rPh>
    <phoneticPr fontId="2"/>
  </si>
  <si>
    <r>
      <rPr>
        <sz val="16"/>
        <color theme="1"/>
        <rFont val="Segoe UI Symbol"/>
        <family val="2"/>
      </rPr>
      <t>●</t>
    </r>
    <r>
      <rPr>
        <sz val="16"/>
        <color theme="1"/>
        <rFont val="ＭＳ ゴシック"/>
        <family val="2"/>
        <charset val="128"/>
      </rPr>
      <t>窓遮熱</t>
    </r>
    <rPh sb="1" eb="2">
      <t>マド</t>
    </rPh>
    <rPh sb="2" eb="4">
      <t>シャネツ</t>
    </rPh>
    <phoneticPr fontId="2"/>
  </si>
  <si>
    <r>
      <rPr>
        <sz val="16"/>
        <color theme="1"/>
        <rFont val="Segoe UI Symbol"/>
        <family val="2"/>
      </rPr>
      <t>●</t>
    </r>
    <r>
      <rPr>
        <sz val="16"/>
        <color theme="1"/>
        <rFont val="ＭＳ ゴシック"/>
        <family val="2"/>
        <charset val="128"/>
      </rPr>
      <t>窓断熱</t>
    </r>
    <rPh sb="1" eb="2">
      <t>マド</t>
    </rPh>
    <rPh sb="2" eb="4">
      <t>ダンネツ</t>
    </rPh>
    <phoneticPr fontId="2"/>
  </si>
  <si>
    <r>
      <t>●</t>
    </r>
    <r>
      <rPr>
        <sz val="11"/>
        <color theme="1"/>
        <rFont val="ＭＳ ゴシック"/>
        <family val="2"/>
        <charset val="128"/>
      </rPr>
      <t>窓断熱</t>
    </r>
    <rPh sb="1" eb="2">
      <t>マド</t>
    </rPh>
    <rPh sb="2" eb="4">
      <t>ダンネツ</t>
    </rPh>
    <phoneticPr fontId="2"/>
  </si>
  <si>
    <r>
      <rPr>
        <sz val="11"/>
        <color theme="1"/>
        <rFont val="Segoe UI Symbol"/>
        <family val="2"/>
      </rPr>
      <t>●</t>
    </r>
    <r>
      <rPr>
        <sz val="11"/>
        <color theme="1"/>
        <rFont val="ＭＳ ゴシック"/>
        <family val="2"/>
        <charset val="128"/>
      </rPr>
      <t>窓遮熱</t>
    </r>
    <rPh sb="1" eb="2">
      <t>マド</t>
    </rPh>
    <rPh sb="2" eb="4">
      <t>シャネツ</t>
    </rPh>
    <phoneticPr fontId="2"/>
  </si>
  <si>
    <t>合計</t>
    <rPh sb="0" eb="2">
      <t>ゴウケイ</t>
    </rPh>
    <phoneticPr fontId="2"/>
  </si>
  <si>
    <t>一般社団法人建材試験センター</t>
    <rPh sb="0" eb="2">
      <t>イッパン</t>
    </rPh>
    <rPh sb="2" eb="4">
      <t>シャダン</t>
    </rPh>
    <rPh sb="4" eb="6">
      <t>ホウジン</t>
    </rPh>
    <rPh sb="6" eb="8">
      <t>ケンザイ</t>
    </rPh>
    <rPh sb="8" eb="10">
      <t>シケン</t>
    </rPh>
    <phoneticPr fontId="2"/>
  </si>
  <si>
    <t>W/m2K</t>
    <phoneticPr fontId="2"/>
  </si>
  <si>
    <t>事業期間</t>
    <rPh sb="0" eb="2">
      <t>ジギョウ</t>
    </rPh>
    <rPh sb="2" eb="4">
      <t>キカン</t>
    </rPh>
    <phoneticPr fontId="2"/>
  </si>
  <si>
    <t>令和</t>
    <rPh sb="0" eb="2">
      <t>レイワ</t>
    </rPh>
    <phoneticPr fontId="2"/>
  </si>
  <si>
    <t>月</t>
    <rPh sb="0" eb="1">
      <t>ガツ</t>
    </rPh>
    <phoneticPr fontId="2"/>
  </si>
  <si>
    <t>～</t>
    <phoneticPr fontId="2"/>
  </si>
  <si>
    <t>補助対象外経費</t>
    <rPh sb="0" eb="2">
      <t>ホジョ</t>
    </rPh>
    <rPh sb="2" eb="4">
      <t>タイショウ</t>
    </rPh>
    <rPh sb="4" eb="5">
      <t>ガイ</t>
    </rPh>
    <rPh sb="5" eb="7">
      <t>ケイヒ</t>
    </rPh>
    <phoneticPr fontId="22"/>
  </si>
  <si>
    <t>対策事業所名</t>
    <rPh sb="0" eb="2">
      <t>タイサク</t>
    </rPh>
    <rPh sb="2" eb="4">
      <t>ジギョウ</t>
    </rPh>
    <rPh sb="4" eb="5">
      <t>ショ</t>
    </rPh>
    <rPh sb="5" eb="6">
      <t>メイ</t>
    </rPh>
    <phoneticPr fontId="2"/>
  </si>
  <si>
    <r>
      <t xml:space="preserve">埼玉県民間事業者ＣＯ₂排出削減設備導入補助金 </t>
    </r>
    <r>
      <rPr>
        <b/>
        <sz val="14"/>
        <color indexed="8"/>
        <rFont val="ＭＳ ゴシック"/>
        <family val="3"/>
        <charset val="128"/>
      </rPr>
      <t>事業計画書
（暑さ対策設備等導入事業）</t>
    </r>
    <rPh sb="0" eb="2">
      <t>サイタマ</t>
    </rPh>
    <rPh sb="2" eb="3">
      <t>ケン</t>
    </rPh>
    <rPh sb="3" eb="5">
      <t>ミンカン</t>
    </rPh>
    <rPh sb="5" eb="7">
      <t>ジギョウ</t>
    </rPh>
    <rPh sb="7" eb="8">
      <t>シャ</t>
    </rPh>
    <rPh sb="11" eb="13">
      <t>ハイシュツ</t>
    </rPh>
    <rPh sb="13" eb="15">
      <t>サクゲン</t>
    </rPh>
    <rPh sb="15" eb="17">
      <t>セツビ</t>
    </rPh>
    <rPh sb="17" eb="19">
      <t>ドウニュウ</t>
    </rPh>
    <rPh sb="19" eb="22">
      <t>ホジョキン</t>
    </rPh>
    <rPh sb="23" eb="25">
      <t>ジギョウ</t>
    </rPh>
    <rPh sb="25" eb="27">
      <t>ケイカク</t>
    </rPh>
    <rPh sb="27" eb="28">
      <t>ショ</t>
    </rPh>
    <rPh sb="30" eb="31">
      <t>アツ</t>
    </rPh>
    <rPh sb="32" eb="34">
      <t>タイサク</t>
    </rPh>
    <rPh sb="34" eb="36">
      <t>セツビ</t>
    </rPh>
    <rPh sb="36" eb="37">
      <t>トウ</t>
    </rPh>
    <rPh sb="37" eb="39">
      <t>ドウニュウ</t>
    </rPh>
    <rPh sb="39" eb="41">
      <t>ジギョウ</t>
    </rPh>
    <phoneticPr fontId="22"/>
  </si>
  <si>
    <t>選択して下さい</t>
    <rPh sb="0" eb="2">
      <t>センタク</t>
    </rPh>
    <rPh sb="4" eb="5">
      <t>クダ</t>
    </rPh>
    <phoneticPr fontId="2"/>
  </si>
  <si>
    <t>大分類</t>
    <rPh sb="0" eb="3">
      <t>ダイブンルイ</t>
    </rPh>
    <phoneticPr fontId="2"/>
  </si>
  <si>
    <t>中分類</t>
    <rPh sb="0" eb="3">
      <t>チュウブンルイ</t>
    </rPh>
    <phoneticPr fontId="2"/>
  </si>
  <si>
    <t>不動産業・物品賃貸業</t>
    <phoneticPr fontId="22"/>
  </si>
  <si>
    <t>学術研究・専門・技術サービス業</t>
    <phoneticPr fontId="22"/>
  </si>
  <si>
    <t>宿泊業・飲食サービス業</t>
    <phoneticPr fontId="22"/>
  </si>
  <si>
    <t>生活関連サービス業・娯楽業</t>
    <phoneticPr fontId="22"/>
  </si>
  <si>
    <t>教育・学習支援業</t>
    <phoneticPr fontId="22"/>
  </si>
  <si>
    <t>医療・福祉</t>
    <phoneticPr fontId="22"/>
  </si>
  <si>
    <t>サービス業</t>
    <phoneticPr fontId="22"/>
  </si>
  <si>
    <t>銀行業</t>
    <phoneticPr fontId="22"/>
  </si>
  <si>
    <t>不動産取引業</t>
    <phoneticPr fontId="22"/>
  </si>
  <si>
    <t>学術・開発研究機関</t>
    <phoneticPr fontId="22"/>
  </si>
  <si>
    <t>宿泊業</t>
    <phoneticPr fontId="22"/>
  </si>
  <si>
    <t>洗濯・理容・美容・浴場業</t>
    <phoneticPr fontId="22"/>
  </si>
  <si>
    <t>学校教育</t>
    <phoneticPr fontId="22"/>
  </si>
  <si>
    <t>医療業</t>
    <phoneticPr fontId="22"/>
  </si>
  <si>
    <t>郵便局</t>
    <phoneticPr fontId="22"/>
  </si>
  <si>
    <t>廃棄物処理業</t>
    <phoneticPr fontId="22"/>
  </si>
  <si>
    <t>農業・林業</t>
    <rPh sb="0" eb="2">
      <t>ノウギョウ</t>
    </rPh>
    <rPh sb="3" eb="5">
      <t>リンギョウ</t>
    </rPh>
    <phoneticPr fontId="22"/>
  </si>
  <si>
    <t>漁業</t>
    <rPh sb="0" eb="2">
      <t>ギョギョウ</t>
    </rPh>
    <phoneticPr fontId="22"/>
  </si>
  <si>
    <t>鉱業・採石業・砂利採取業</t>
    <phoneticPr fontId="22"/>
  </si>
  <si>
    <t>建設業</t>
    <rPh sb="0" eb="3">
      <t>ケンセツギョウ</t>
    </rPh>
    <phoneticPr fontId="22"/>
  </si>
  <si>
    <t>製造業</t>
    <rPh sb="0" eb="3">
      <t>セイゾウギョウ</t>
    </rPh>
    <phoneticPr fontId="22"/>
  </si>
  <si>
    <t>運輸業・郵便業</t>
    <phoneticPr fontId="22"/>
  </si>
  <si>
    <t>協同組織金融業</t>
    <phoneticPr fontId="22"/>
  </si>
  <si>
    <t>不動産賃貸業・管理業</t>
    <phoneticPr fontId="22"/>
  </si>
  <si>
    <t>専門サービス業</t>
    <phoneticPr fontId="22"/>
  </si>
  <si>
    <t>飲食店</t>
    <phoneticPr fontId="22"/>
  </si>
  <si>
    <t>その他の生活関連サービス業</t>
    <phoneticPr fontId="22"/>
  </si>
  <si>
    <t>その他の教育，学習支援業</t>
    <phoneticPr fontId="22"/>
  </si>
  <si>
    <t>保健衛生</t>
    <phoneticPr fontId="22"/>
  </si>
  <si>
    <t>協同組合</t>
    <phoneticPr fontId="22"/>
  </si>
  <si>
    <t>自動車整備業</t>
    <phoneticPr fontId="22"/>
  </si>
  <si>
    <t>農業</t>
    <rPh sb="0" eb="2">
      <t>ノウギョウ</t>
    </rPh>
    <phoneticPr fontId="22"/>
  </si>
  <si>
    <t>鉱業，採石業，砂利採取業</t>
  </si>
  <si>
    <t>総合工事業</t>
    <rPh sb="0" eb="2">
      <t>ソウゴウ</t>
    </rPh>
    <rPh sb="2" eb="5">
      <t>コウジギョウ</t>
    </rPh>
    <phoneticPr fontId="22"/>
  </si>
  <si>
    <t>食料品製造業</t>
  </si>
  <si>
    <t>電気業</t>
    <rPh sb="2" eb="3">
      <t>ギョウ</t>
    </rPh>
    <phoneticPr fontId="22"/>
  </si>
  <si>
    <t>通信業</t>
    <phoneticPr fontId="22"/>
  </si>
  <si>
    <t>鉄道業</t>
    <phoneticPr fontId="22"/>
  </si>
  <si>
    <t>各種商品卸売業</t>
    <phoneticPr fontId="22"/>
  </si>
  <si>
    <t>貸金業，クレジットカード業等非預金信用機関</t>
    <phoneticPr fontId="22"/>
  </si>
  <si>
    <t>物品賃貸業</t>
    <phoneticPr fontId="22"/>
  </si>
  <si>
    <t>広告業</t>
    <phoneticPr fontId="22"/>
  </si>
  <si>
    <t>持ち帰り・配達飲食サービス業</t>
    <phoneticPr fontId="22"/>
  </si>
  <si>
    <t>娯楽業</t>
    <phoneticPr fontId="22"/>
  </si>
  <si>
    <t>社会保険・社会福祉・介護事業</t>
    <phoneticPr fontId="22"/>
  </si>
  <si>
    <t>機械等修理業</t>
    <phoneticPr fontId="22"/>
  </si>
  <si>
    <t>林業</t>
    <rPh sb="0" eb="2">
      <t>ノウリンギョウ</t>
    </rPh>
    <phoneticPr fontId="22"/>
  </si>
  <si>
    <t>水産養殖業</t>
    <rPh sb="0" eb="2">
      <t>スイサン</t>
    </rPh>
    <rPh sb="2" eb="4">
      <t>ヨウショク</t>
    </rPh>
    <rPh sb="4" eb="5">
      <t>ギョウ</t>
    </rPh>
    <phoneticPr fontId="22"/>
  </si>
  <si>
    <t>設備工事業</t>
    <rPh sb="0" eb="2">
      <t>セツビ</t>
    </rPh>
    <rPh sb="2" eb="4">
      <t>コウジ</t>
    </rPh>
    <rPh sb="4" eb="5">
      <t>ギョウ</t>
    </rPh>
    <phoneticPr fontId="22"/>
  </si>
  <si>
    <t>飲料・たばこ・飼料製造業</t>
  </si>
  <si>
    <t>ガス業</t>
    <phoneticPr fontId="22"/>
  </si>
  <si>
    <t>放送業</t>
    <rPh sb="0" eb="2">
      <t>ホウソウ</t>
    </rPh>
    <phoneticPr fontId="22"/>
  </si>
  <si>
    <t>道路旅客運送業</t>
    <phoneticPr fontId="22"/>
  </si>
  <si>
    <t>繊維・衣服等卸売業</t>
    <phoneticPr fontId="22"/>
  </si>
  <si>
    <t>金融商品取引業，商品先物取引業</t>
    <phoneticPr fontId="22"/>
  </si>
  <si>
    <t>技術サービス業</t>
    <phoneticPr fontId="22"/>
  </si>
  <si>
    <t>職業紹介・労働者派遣業</t>
    <phoneticPr fontId="22"/>
  </si>
  <si>
    <t>職別工事業</t>
    <rPh sb="0" eb="1">
      <t>ショク</t>
    </rPh>
    <rPh sb="1" eb="2">
      <t>ベツ</t>
    </rPh>
    <rPh sb="2" eb="5">
      <t>コウジギョウ</t>
    </rPh>
    <phoneticPr fontId="22"/>
  </si>
  <si>
    <t>繊維工業</t>
  </si>
  <si>
    <t>熱供給業</t>
    <phoneticPr fontId="22"/>
  </si>
  <si>
    <t>情報サービス業</t>
    <phoneticPr fontId="22"/>
  </si>
  <si>
    <t>道路貨物運送業</t>
    <phoneticPr fontId="22"/>
  </si>
  <si>
    <t>飲食料品卸売業</t>
    <phoneticPr fontId="22"/>
  </si>
  <si>
    <t>補助的金融業等</t>
    <phoneticPr fontId="22"/>
  </si>
  <si>
    <t>その他の事業サービス業</t>
    <phoneticPr fontId="22"/>
  </si>
  <si>
    <t>木材・木製品製造業</t>
  </si>
  <si>
    <t>水道業</t>
    <phoneticPr fontId="22"/>
  </si>
  <si>
    <t>インターネット附随サービス業</t>
    <phoneticPr fontId="22"/>
  </si>
  <si>
    <t>水運業</t>
    <phoneticPr fontId="22"/>
  </si>
  <si>
    <t>建築材料，鉱物・金属材料等卸売業</t>
    <phoneticPr fontId="22"/>
  </si>
  <si>
    <t>保険業</t>
    <phoneticPr fontId="22"/>
  </si>
  <si>
    <t>家具・装備品製造業</t>
  </si>
  <si>
    <t>映像・音声・文字情報制作業</t>
    <phoneticPr fontId="22"/>
  </si>
  <si>
    <t>航空運輸業</t>
    <phoneticPr fontId="22"/>
  </si>
  <si>
    <t>機械器具卸売業</t>
    <phoneticPr fontId="22"/>
  </si>
  <si>
    <t>パルプ・紙・紙加工品製造業</t>
  </si>
  <si>
    <t>倉庫業</t>
    <phoneticPr fontId="22"/>
  </si>
  <si>
    <t>その他の卸売業</t>
    <phoneticPr fontId="22"/>
  </si>
  <si>
    <t>印刷・同関連業</t>
  </si>
  <si>
    <t>運輸に附帯するサービス業</t>
    <phoneticPr fontId="22"/>
  </si>
  <si>
    <t>各種商品小売業</t>
    <phoneticPr fontId="22"/>
  </si>
  <si>
    <t>化学工業</t>
  </si>
  <si>
    <t>郵便業</t>
    <rPh sb="0" eb="2">
      <t>ユウビン</t>
    </rPh>
    <rPh sb="2" eb="3">
      <t>ギョウ</t>
    </rPh>
    <phoneticPr fontId="22"/>
  </si>
  <si>
    <t>織物・衣服・身の回り品小売業</t>
    <phoneticPr fontId="22"/>
  </si>
  <si>
    <t>石油製品・石炭製品製造業</t>
  </si>
  <si>
    <t>飲食料品小売業</t>
    <phoneticPr fontId="22"/>
  </si>
  <si>
    <t>プラスチック製品製造業</t>
  </si>
  <si>
    <t>機械器具小売業</t>
    <phoneticPr fontId="22"/>
  </si>
  <si>
    <t>ゴム製品製造業</t>
  </si>
  <si>
    <t>その他の小売業</t>
    <phoneticPr fontId="22"/>
  </si>
  <si>
    <t>なめし革・同製品・毛皮製造業</t>
  </si>
  <si>
    <t>無店舗小売業</t>
    <phoneticPr fontId="22"/>
  </si>
  <si>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</si>
  <si>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</si>
  <si>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</si>
  <si>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</si>
  <si>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</si>
  <si>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</si>
  <si>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</si>
  <si>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</si>
  <si>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</si>
  <si>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</si>
  <si>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</si>
  <si>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</si>
  <si>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産業分類</t>
    <rPh sb="0" eb="2">
      <t>サンギョウ</t>
    </rPh>
    <rPh sb="2" eb="4">
      <t>ブンルイ</t>
    </rPh>
    <phoneticPr fontId="22"/>
  </si>
  <si>
    <t>電気・ガス・熱供給・水道業</t>
    <phoneticPr fontId="2"/>
  </si>
  <si>
    <t>情報通信業</t>
    <phoneticPr fontId="2"/>
  </si>
  <si>
    <t>卸売業・小売業</t>
    <phoneticPr fontId="2"/>
  </si>
  <si>
    <t>金融業・保険業</t>
    <phoneticPr fontId="2"/>
  </si>
  <si>
    <t>複合サービス事業</t>
    <phoneticPr fontId="2"/>
  </si>
  <si>
    <t>選択して下さい</t>
    <rPh sb="0" eb="2">
      <t>センタク</t>
    </rPh>
    <rPh sb="4" eb="5">
      <t>クダ</t>
    </rPh>
    <phoneticPr fontId="2"/>
  </si>
  <si>
    <t>〒</t>
    <phoneticPr fontId="2"/>
  </si>
  <si>
    <t>氏名</t>
    <rPh sb="0" eb="2">
      <t>シメイ</t>
    </rPh>
    <phoneticPr fontId="2"/>
  </si>
  <si>
    <t>直近３か年の原油換算
エネルギー使用量</t>
    <rPh sb="0" eb="2">
      <t>チョッキン</t>
    </rPh>
    <rPh sb="4" eb="5">
      <t>ネン</t>
    </rPh>
    <rPh sb="6" eb="8">
      <t>ゲンユ</t>
    </rPh>
    <rPh sb="8" eb="10">
      <t>カンサン</t>
    </rPh>
    <rPh sb="16" eb="18">
      <t>シヨウ</t>
    </rPh>
    <rPh sb="18" eb="19">
      <t>リョウ</t>
    </rPh>
    <phoneticPr fontId="22"/>
  </si>
  <si>
    <t>ギャランティード・セイビングス契約</t>
    <phoneticPr fontId="2"/>
  </si>
  <si>
    <t>シェアード・セイビングス契約</t>
    <phoneticPr fontId="2"/>
  </si>
  <si>
    <t>ホームページ
のＵＲＬ</t>
    <phoneticPr fontId="2"/>
  </si>
  <si>
    <t xml:space="preserve">１．申請者情報 </t>
    <phoneticPr fontId="2"/>
  </si>
  <si>
    <t>（１）事業費内訳</t>
    <rPh sb="3" eb="5">
      <t>ジギョウ</t>
    </rPh>
    <rPh sb="5" eb="6">
      <t>ヒ</t>
    </rPh>
    <rPh sb="6" eb="8">
      <t>ウチワケ</t>
    </rPh>
    <phoneticPr fontId="22"/>
  </si>
  <si>
    <t>値引き</t>
    <rPh sb="0" eb="2">
      <t>ネビ</t>
    </rPh>
    <phoneticPr fontId="2"/>
  </si>
  <si>
    <t>諸経費</t>
    <rPh sb="0" eb="3">
      <t>ショケイヒ</t>
    </rPh>
    <phoneticPr fontId="2"/>
  </si>
  <si>
    <t>（２）補助金申請額</t>
    <rPh sb="3" eb="6">
      <t>ホジョキン</t>
    </rPh>
    <rPh sb="6" eb="8">
      <t>シンセイ</t>
    </rPh>
    <rPh sb="8" eb="9">
      <t>ガク</t>
    </rPh>
    <phoneticPr fontId="22"/>
  </si>
  <si>
    <t>申請上限額</t>
    <rPh sb="0" eb="2">
      <t>シンセイ</t>
    </rPh>
    <rPh sb="2" eb="4">
      <t>ジョウゲン</t>
    </rPh>
    <rPh sb="4" eb="5">
      <t>ガク</t>
    </rPh>
    <phoneticPr fontId="2"/>
  </si>
  <si>
    <t>２．事業内容</t>
    <rPh sb="2" eb="4">
      <t>ジギョウ</t>
    </rPh>
    <rPh sb="4" eb="6">
      <t>ナイヨウ</t>
    </rPh>
    <phoneticPr fontId="22"/>
  </si>
  <si>
    <t>施工箇所</t>
    <rPh sb="0" eb="2">
      <t>セコウ</t>
    </rPh>
    <rPh sb="2" eb="4">
      <t>カショ</t>
    </rPh>
    <phoneticPr fontId="22"/>
  </si>
  <si>
    <t>実施事業</t>
    <rPh sb="0" eb="2">
      <t>ジッシ</t>
    </rPh>
    <rPh sb="2" eb="4">
      <t>ジギョウ</t>
    </rPh>
    <phoneticPr fontId="22"/>
  </si>
  <si>
    <t>※複数の実施事業がある場合は全て選択して下さい</t>
    <rPh sb="1" eb="3">
      <t>フクスウ</t>
    </rPh>
    <rPh sb="4" eb="6">
      <t>ジッシ</t>
    </rPh>
    <rPh sb="6" eb="8">
      <t>ジギョウ</t>
    </rPh>
    <rPh sb="11" eb="13">
      <t>バアイ</t>
    </rPh>
    <rPh sb="14" eb="15">
      <t>スベ</t>
    </rPh>
    <rPh sb="16" eb="18">
      <t>センタク</t>
    </rPh>
    <rPh sb="20" eb="21">
      <t>クダ</t>
    </rPh>
    <phoneticPr fontId="22"/>
  </si>
  <si>
    <t>(その他の場合は下欄に記入して下さい）</t>
    <rPh sb="3" eb="4">
      <t>タ</t>
    </rPh>
    <rPh sb="5" eb="7">
      <t>バアイ</t>
    </rPh>
    <rPh sb="8" eb="10">
      <t>カラン</t>
    </rPh>
    <rPh sb="11" eb="13">
      <t>キニュウ</t>
    </rPh>
    <rPh sb="15" eb="16">
      <t>クダ</t>
    </rPh>
    <phoneticPr fontId="2"/>
  </si>
  <si>
    <t>導入前の
状況</t>
    <rPh sb="0" eb="2">
      <t>ドウニュウ</t>
    </rPh>
    <rPh sb="2" eb="3">
      <t>マエ</t>
    </rPh>
    <rPh sb="5" eb="7">
      <t>ジョウキョウ</t>
    </rPh>
    <phoneticPr fontId="2"/>
  </si>
  <si>
    <t>導入予定　設備等</t>
    <rPh sb="0" eb="2">
      <t>ドウニュウ</t>
    </rPh>
    <rPh sb="2" eb="4">
      <t>ヨテイ</t>
    </rPh>
    <rPh sb="5" eb="7">
      <t>セツビ</t>
    </rPh>
    <rPh sb="7" eb="8">
      <t>トウ</t>
    </rPh>
    <phoneticPr fontId="2"/>
  </si>
  <si>
    <r>
      <rPr>
        <b/>
        <sz val="11"/>
        <color theme="1"/>
        <rFont val="ＭＳ Ｐゴシック"/>
        <family val="3"/>
        <charset val="128"/>
        <scheme val="minor"/>
      </rPr>
      <t xml:space="preserve">《導入予定設備》  </t>
    </r>
    <r>
      <rPr>
        <sz val="11"/>
        <color theme="1"/>
        <rFont val="ＭＳ Ｐゴシック"/>
        <family val="3"/>
        <charset val="128"/>
        <scheme val="minor"/>
      </rPr>
      <t>※複数の実施事業がある場合は全て記入して下さい</t>
    </r>
    <rPh sb="11" eb="13">
      <t>フクスウ</t>
    </rPh>
    <rPh sb="14" eb="16">
      <t>ジッシ</t>
    </rPh>
    <rPh sb="16" eb="18">
      <t>ジギョウ</t>
    </rPh>
    <rPh sb="21" eb="23">
      <t>バアイ</t>
    </rPh>
    <rPh sb="24" eb="25">
      <t>スベ</t>
    </rPh>
    <rPh sb="26" eb="28">
      <t>キニュウ</t>
    </rPh>
    <rPh sb="30" eb="31">
      <t>クダ</t>
    </rPh>
    <phoneticPr fontId="22"/>
  </si>
  <si>
    <t>メーカー</t>
    <phoneticPr fontId="2"/>
  </si>
  <si>
    <t>製品名</t>
    <rPh sb="0" eb="3">
      <t>セイヒンメイ</t>
    </rPh>
    <phoneticPr fontId="2"/>
  </si>
  <si>
    <t>色・種類</t>
    <rPh sb="0" eb="1">
      <t>イロ</t>
    </rPh>
    <rPh sb="2" eb="4">
      <t>シュルイ</t>
    </rPh>
    <phoneticPr fontId="2"/>
  </si>
  <si>
    <r>
      <t xml:space="preserve">《施工面積や範囲について》 </t>
    </r>
    <r>
      <rPr>
        <sz val="11"/>
        <color theme="1"/>
        <rFont val="ＭＳ Ｐゴシック"/>
        <family val="3"/>
        <charset val="128"/>
        <scheme val="minor"/>
      </rPr>
      <t>※複数の実施事業がある場合は全て記入して下さい</t>
    </r>
    <rPh sb="1" eb="3">
      <t>セコウ</t>
    </rPh>
    <rPh sb="3" eb="5">
      <t>メンセキ</t>
    </rPh>
    <rPh sb="6" eb="8">
      <t>ハンイ</t>
    </rPh>
    <phoneticPr fontId="2"/>
  </si>
  <si>
    <t>《適合基準の確認》 　※入力シートに記入する全ての数値について記入して下さい</t>
    <rPh sb="1" eb="3">
      <t>テキゴウ</t>
    </rPh>
    <rPh sb="3" eb="5">
      <t>キジュン</t>
    </rPh>
    <rPh sb="6" eb="8">
      <t>カクニン</t>
    </rPh>
    <rPh sb="12" eb="14">
      <t>ニュウリョク</t>
    </rPh>
    <rPh sb="18" eb="20">
      <t>キニュウ</t>
    </rPh>
    <rPh sb="22" eb="23">
      <t>スベ</t>
    </rPh>
    <rPh sb="25" eb="27">
      <t>スウチ</t>
    </rPh>
    <rPh sb="31" eb="33">
      <t>キニュウ</t>
    </rPh>
    <rPh sb="35" eb="36">
      <t>クダ</t>
    </rPh>
    <phoneticPr fontId="2"/>
  </si>
  <si>
    <t>資産台帳</t>
    <rPh sb="0" eb="2">
      <t>シサン</t>
    </rPh>
    <rPh sb="2" eb="4">
      <t>ダイチョウ</t>
    </rPh>
    <phoneticPr fontId="2"/>
  </si>
  <si>
    <t>選択して下さい</t>
    <rPh sb="0" eb="1">
      <t>センタク</t>
    </rPh>
    <rPh sb="3" eb="4">
      <t>クダ</t>
    </rPh>
    <phoneticPr fontId="2"/>
  </si>
  <si>
    <t>令和元年度</t>
    <rPh sb="0" eb="2">
      <t>レイワ</t>
    </rPh>
    <rPh sb="2" eb="3">
      <t>ガン</t>
    </rPh>
    <rPh sb="3" eb="5">
      <t>ネンド</t>
    </rPh>
    <phoneticPr fontId="22"/>
  </si>
  <si>
    <t>Ｒ２年</t>
    <rPh sb="2" eb="3">
      <t>ネン</t>
    </rPh>
    <phoneticPr fontId="2"/>
  </si>
  <si>
    <t>日射熱吸収率</t>
    <rPh sb="0" eb="2">
      <t>ニッシャ</t>
    </rPh>
    <rPh sb="2" eb="3">
      <t>ネツ</t>
    </rPh>
    <rPh sb="3" eb="5">
      <t>キュウシュウ</t>
    </rPh>
    <rPh sb="5" eb="6">
      <t>リツ</t>
    </rPh>
    <phoneticPr fontId="2"/>
  </si>
  <si>
    <t>日射熱反射率</t>
    <rPh sb="0" eb="2">
      <t>ニッシャ</t>
    </rPh>
    <rPh sb="2" eb="3">
      <t>ネツ</t>
    </rPh>
    <rPh sb="3" eb="5">
      <t>ハンシャ</t>
    </rPh>
    <rPh sb="5" eb="6">
      <t>リツ</t>
    </rPh>
    <phoneticPr fontId="2"/>
  </si>
  <si>
    <t>事業実施場所</t>
    <rPh sb="0" eb="2">
      <t>ジギョウ</t>
    </rPh>
    <rPh sb="2" eb="4">
      <t>ジッシ</t>
    </rPh>
    <rPh sb="4" eb="6">
      <t>バショ</t>
    </rPh>
    <phoneticPr fontId="2"/>
  </si>
  <si>
    <t>（注）</t>
    <rPh sb="1" eb="2">
      <t>チュウ</t>
    </rPh>
    <phoneticPr fontId="22"/>
  </si>
  <si>
    <t>（1）補助対象経費の区分欄は、導入事業ごとに記載し、その内訳が見積書で明確に確認できるようにすること。</t>
    <rPh sb="3" eb="5">
      <t>ホジョ</t>
    </rPh>
    <rPh sb="5" eb="7">
      <t>タイショウ</t>
    </rPh>
    <rPh sb="7" eb="9">
      <t>ケイヒ</t>
    </rPh>
    <rPh sb="10" eb="12">
      <t>クブン</t>
    </rPh>
    <rPh sb="12" eb="13">
      <t>ラン</t>
    </rPh>
    <rPh sb="15" eb="17">
      <t>ドウニュウ</t>
    </rPh>
    <rPh sb="17" eb="19">
      <t>ジギョウ</t>
    </rPh>
    <rPh sb="22" eb="24">
      <t>キサイ</t>
    </rPh>
    <rPh sb="28" eb="30">
      <t>ウチワケ</t>
    </rPh>
    <rPh sb="31" eb="34">
      <t>ミツモリショ</t>
    </rPh>
    <rPh sb="35" eb="37">
      <t>メイカク</t>
    </rPh>
    <rPh sb="38" eb="40">
      <t>カクニン</t>
    </rPh>
    <phoneticPr fontId="22"/>
  </si>
  <si>
    <r>
      <t>（2）「出精値引き」など、内訳が明確でない値引きについては、</t>
    </r>
    <r>
      <rPr>
        <b/>
        <u/>
        <sz val="11"/>
        <color theme="1"/>
        <rFont val="ＭＳ Ｐゴシック"/>
        <family val="3"/>
        <charset val="128"/>
        <scheme val="minor"/>
      </rPr>
      <t>すべて対象経費から差し引く</t>
    </r>
    <r>
      <rPr>
        <u/>
        <sz val="11"/>
        <color theme="1"/>
        <rFont val="ＭＳ Ｐゴシック"/>
        <family val="3"/>
        <charset val="128"/>
        <scheme val="minor"/>
      </rPr>
      <t>こと。</t>
    </r>
    <rPh sb="4" eb="8">
      <t>シュッセイネビ</t>
    </rPh>
    <rPh sb="13" eb="15">
      <t>ウチワケ</t>
    </rPh>
    <rPh sb="16" eb="18">
      <t>メイカク</t>
    </rPh>
    <rPh sb="21" eb="23">
      <t>ネビ</t>
    </rPh>
    <rPh sb="33" eb="35">
      <t>タイショウ</t>
    </rPh>
    <rPh sb="35" eb="37">
      <t>ケイヒ</t>
    </rPh>
    <rPh sb="39" eb="40">
      <t>サ</t>
    </rPh>
    <rPh sb="41" eb="42">
      <t>ヒ</t>
    </rPh>
    <phoneticPr fontId="22"/>
  </si>
  <si>
    <t>３．資金計画</t>
    <rPh sb="2" eb="4">
      <t>シキン</t>
    </rPh>
    <rPh sb="4" eb="6">
      <t>ケイカク</t>
    </rPh>
    <phoneticPr fontId="22"/>
  </si>
  <si>
    <r>
      <rPr>
        <b/>
        <sz val="12"/>
        <color theme="1"/>
        <rFont val="ＭＳ Ｐゴシック"/>
        <family val="3"/>
        <charset val="128"/>
        <scheme val="minor"/>
      </rPr>
      <t>法定耐用年数</t>
    </r>
    <r>
      <rPr>
        <sz val="10"/>
        <color theme="1"/>
        <rFont val="ＭＳ Ｐゴシック"/>
        <family val="3"/>
        <charset val="128"/>
        <scheme val="minor"/>
      </rPr>
      <t xml:space="preserve">
</t>
    </r>
    <r>
      <rPr>
        <sz val="9"/>
        <color theme="1"/>
        <rFont val="ＭＳ Ｐゴシック"/>
        <family val="3"/>
        <charset val="128"/>
        <scheme val="minor"/>
      </rPr>
      <t xml:space="preserve">（複数用途がある場合、施工別に記入する）
</t>
    </r>
    <r>
      <rPr>
        <b/>
        <sz val="10"/>
        <color theme="1"/>
        <rFont val="ＭＳ Ｐゴシック"/>
        <family val="3"/>
        <charset val="128"/>
        <scheme val="minor"/>
      </rPr>
      <t>※償却資産台帳（固定資産台帳）に
登録する年数を記入して下さい</t>
    </r>
    <rPh sb="0" eb="2">
      <t>ホウテイ</t>
    </rPh>
    <rPh sb="2" eb="4">
      <t>タイヨウ</t>
    </rPh>
    <rPh sb="4" eb="6">
      <t>ネンスウ</t>
    </rPh>
    <rPh sb="8" eb="10">
      <t>フクスウ</t>
    </rPh>
    <rPh sb="10" eb="12">
      <t>ヨウト</t>
    </rPh>
    <rPh sb="15" eb="17">
      <t>バアイ</t>
    </rPh>
    <rPh sb="18" eb="20">
      <t>セコウ</t>
    </rPh>
    <rPh sb="20" eb="21">
      <t>ベツ</t>
    </rPh>
    <rPh sb="22" eb="24">
      <t>キニュウ</t>
    </rPh>
    <rPh sb="30" eb="32">
      <t>ショウキャク</t>
    </rPh>
    <rPh sb="32" eb="34">
      <t>シサン</t>
    </rPh>
    <rPh sb="34" eb="36">
      <t>ダイチョウ</t>
    </rPh>
    <rPh sb="37" eb="39">
      <t>コテイ</t>
    </rPh>
    <rPh sb="39" eb="41">
      <t>シサン</t>
    </rPh>
    <rPh sb="41" eb="43">
      <t>ダイチョウ</t>
    </rPh>
    <rPh sb="46" eb="48">
      <t>トウロク</t>
    </rPh>
    <rPh sb="50" eb="52">
      <t>ネンスウ</t>
    </rPh>
    <rPh sb="53" eb="55">
      <t>キニュウ</t>
    </rPh>
    <rPh sb="57" eb="58">
      <t>クダ</t>
    </rPh>
    <phoneticPr fontId="2"/>
  </si>
  <si>
    <r>
      <t>財産処分制限期間</t>
    </r>
    <r>
      <rPr>
        <vertAlign val="superscript"/>
        <sz val="11"/>
        <color theme="1"/>
        <rFont val="ＭＳ Ｐゴシック"/>
        <family val="3"/>
        <charset val="128"/>
        <scheme val="minor"/>
      </rPr>
      <t>※</t>
    </r>
    <r>
      <rPr>
        <sz val="11"/>
        <color theme="1"/>
        <rFont val="ＭＳ Ｐゴシック"/>
        <family val="3"/>
        <charset val="128"/>
        <scheme val="minor"/>
      </rPr>
      <t>相当
CO₂排出削減量</t>
    </r>
    <rPh sb="0" eb="2">
      <t>ザイサン</t>
    </rPh>
    <rPh sb="2" eb="4">
      <t>ショブン</t>
    </rPh>
    <rPh sb="4" eb="6">
      <t>セイゲン</t>
    </rPh>
    <rPh sb="6" eb="8">
      <t>キカン</t>
    </rPh>
    <rPh sb="9" eb="11">
      <t>ソウトウ</t>
    </rPh>
    <rPh sb="15" eb="17">
      <t>ハイシュツ</t>
    </rPh>
    <rPh sb="17" eb="19">
      <t>サクゲン</t>
    </rPh>
    <rPh sb="19" eb="20">
      <t>リョウ</t>
    </rPh>
    <phoneticPr fontId="2"/>
  </si>
  <si>
    <t>※10年間。ただし法定耐用年数が
10年未満のものはその法定耐用年数</t>
    <phoneticPr fontId="2"/>
  </si>
  <si>
    <r>
      <rPr>
        <sz val="11"/>
        <rFont val="ＭＳ Ｐゴシック"/>
        <family val="3"/>
        <charset val="128"/>
      </rPr>
      <t>※</t>
    </r>
    <r>
      <rPr>
        <sz val="11"/>
        <rFont val="Arial"/>
        <family val="2"/>
      </rPr>
      <t xml:space="preserve"> </t>
    </r>
    <r>
      <rPr>
        <sz val="11"/>
        <rFont val="ＭＳ Ｐゴシック"/>
        <family val="3"/>
        <charset val="128"/>
      </rPr>
      <t>本シートによるCO</t>
    </r>
    <r>
      <rPr>
        <vertAlign val="subscript"/>
        <sz val="11"/>
        <rFont val="ＭＳ Ｐゴシック"/>
        <family val="3"/>
        <charset val="128"/>
      </rPr>
      <t>2</t>
    </r>
    <r>
      <rPr>
        <sz val="11"/>
        <rFont val="ＭＳ Ｐゴシック"/>
        <family val="3"/>
        <charset val="128"/>
      </rPr>
      <t>排出量の算出は、入力情報に基づき、電力消費量に換算して算出するものです。</t>
    </r>
    <rPh sb="2" eb="3">
      <t>ホン</t>
    </rPh>
    <rPh sb="12" eb="15">
      <t>ハイシュツリョウ</t>
    </rPh>
    <rPh sb="16" eb="18">
      <t>サンシュツ</t>
    </rPh>
    <rPh sb="20" eb="22">
      <t>ニュウリョク</t>
    </rPh>
    <rPh sb="22" eb="24">
      <t>ジョウホウ</t>
    </rPh>
    <rPh sb="25" eb="26">
      <t>モト</t>
    </rPh>
    <rPh sb="29" eb="31">
      <t>デンリョク</t>
    </rPh>
    <rPh sb="31" eb="34">
      <t>ショウヒリョウ</t>
    </rPh>
    <rPh sb="35" eb="37">
      <t>カンサン</t>
    </rPh>
    <rPh sb="39" eb="41">
      <t>サンシュツ</t>
    </rPh>
    <phoneticPr fontId="2"/>
  </si>
  <si>
    <t>　</t>
  </si>
  <si>
    <t>施工
実施方法</t>
    <rPh sb="0" eb="2">
      <t>セコウ</t>
    </rPh>
    <rPh sb="3" eb="5">
      <t>ジッシ</t>
    </rPh>
    <rPh sb="5" eb="7">
      <t>ホウホウ</t>
    </rPh>
    <phoneticPr fontId="2"/>
  </si>
  <si>
    <t>事業者名</t>
    <rPh sb="0" eb="4">
      <t>ジギョウシャメイ</t>
    </rPh>
    <phoneticPr fontId="2"/>
  </si>
  <si>
    <t>事業所名称</t>
    <rPh sb="0" eb="5">
      <t>ジギョウショメイショウ</t>
    </rPh>
    <phoneticPr fontId="2"/>
  </si>
  <si>
    <t>所在地</t>
    <rPh sb="0" eb="3">
      <t>ショザイチ</t>
    </rPh>
    <phoneticPr fontId="2"/>
  </si>
  <si>
    <t>大分類</t>
    <rPh sb="0" eb="3">
      <t>ダイブンルイ</t>
    </rPh>
    <phoneticPr fontId="2"/>
  </si>
  <si>
    <t>中分類</t>
    <rPh sb="0" eb="3">
      <t>チュウブンルイ</t>
    </rPh>
    <phoneticPr fontId="2"/>
  </si>
  <si>
    <t>エネルギー使用量</t>
    <rPh sb="5" eb="8">
      <t>シヨウリョウ</t>
    </rPh>
    <phoneticPr fontId="2"/>
  </si>
  <si>
    <t>省エネ診断申込状況</t>
    <rPh sb="0" eb="1">
      <t>ショウ</t>
    </rPh>
    <rPh sb="3" eb="5">
      <t>シンダン</t>
    </rPh>
    <rPh sb="5" eb="7">
      <t>モウシコミ</t>
    </rPh>
    <rPh sb="7" eb="9">
      <t>ジョウキョウ</t>
    </rPh>
    <phoneticPr fontId="2"/>
  </si>
  <si>
    <t>リース</t>
    <phoneticPr fontId="2"/>
  </si>
  <si>
    <t>申請事業①</t>
    <rPh sb="0" eb="2">
      <t>シンセイ</t>
    </rPh>
    <rPh sb="2" eb="4">
      <t>ジギョウ</t>
    </rPh>
    <phoneticPr fontId="2"/>
  </si>
  <si>
    <t>申請事業②</t>
    <rPh sb="0" eb="2">
      <t>シンセイ</t>
    </rPh>
    <rPh sb="2" eb="4">
      <t>ジギョウ</t>
    </rPh>
    <phoneticPr fontId="2"/>
  </si>
  <si>
    <t>申請事業③</t>
    <rPh sb="0" eb="2">
      <t>シンセイ</t>
    </rPh>
    <rPh sb="2" eb="4">
      <t>ジギョウ</t>
    </rPh>
    <phoneticPr fontId="2"/>
  </si>
  <si>
    <t>JIS</t>
    <phoneticPr fontId="2"/>
  </si>
  <si>
    <t>ETV</t>
    <phoneticPr fontId="2"/>
  </si>
  <si>
    <t>建研</t>
    <rPh sb="0" eb="2">
      <t>ケンケン</t>
    </rPh>
    <phoneticPr fontId="2"/>
  </si>
  <si>
    <t>建材</t>
    <rPh sb="0" eb="2">
      <t>ケンザイ</t>
    </rPh>
    <phoneticPr fontId="2"/>
  </si>
  <si>
    <t>対策場所</t>
    <rPh sb="0" eb="4">
      <t>タイサクバショ</t>
    </rPh>
    <phoneticPr fontId="2"/>
  </si>
  <si>
    <t>年間</t>
    <rPh sb="0" eb="2">
      <t>ネンカン</t>
    </rPh>
    <phoneticPr fontId="2"/>
  </si>
  <si>
    <t>耐用年数</t>
    <rPh sb="0" eb="4">
      <t>タイヨウネンスウ</t>
    </rPh>
    <phoneticPr fontId="2"/>
  </si>
  <si>
    <t>選択して下さい</t>
  </si>
  <si>
    <t>《以下、申請内容》 ★管理表に値貼付け（そのままコピーしないように注意）</t>
    <rPh sb="1" eb="3">
      <t>イカ</t>
    </rPh>
    <rPh sb="4" eb="6">
      <t>シンセイ</t>
    </rPh>
    <rPh sb="6" eb="8">
      <t>ナイヨウ</t>
    </rPh>
    <rPh sb="11" eb="14">
      <t>カンリヒョウ</t>
    </rPh>
    <rPh sb="15" eb="18">
      <t>アタイハリツ</t>
    </rPh>
    <rPh sb="33" eb="35">
      <t>チュウイ</t>
    </rPh>
    <phoneticPr fontId="2"/>
  </si>
  <si>
    <t>※財産処分制限期間欄の手前まで</t>
    <phoneticPr fontId="2"/>
  </si>
  <si>
    <t>総事業費</t>
    <rPh sb="0" eb="4">
      <t>ソウジギョウヒ</t>
    </rPh>
    <phoneticPr fontId="2"/>
  </si>
  <si>
    <t>補助対象経費</t>
    <rPh sb="0" eb="6">
      <t>ホジョタイショウケイヒ</t>
    </rPh>
    <phoneticPr fontId="2"/>
  </si>
  <si>
    <t>申請額</t>
    <rPh sb="0" eb="3">
      <t>シンセイガク</t>
    </rPh>
    <phoneticPr fontId="2"/>
  </si>
  <si>
    <t>※交付予定額欄の手前まで</t>
    <rPh sb="1" eb="6">
      <t>コウフヨテイガク</t>
    </rPh>
    <rPh sb="6" eb="7">
      <t>ラン</t>
    </rPh>
    <rPh sb="8" eb="10">
      <t>テマエ</t>
    </rPh>
    <phoneticPr fontId="2"/>
  </si>
  <si>
    <t>郵便番号</t>
    <rPh sb="0" eb="4">
      <t>ユウビンバンゴウ</t>
    </rPh>
    <phoneticPr fontId="2"/>
  </si>
  <si>
    <t>住所</t>
    <rPh sb="0" eb="2">
      <t>ジュウショ</t>
    </rPh>
    <phoneticPr fontId="2"/>
  </si>
  <si>
    <t>所属</t>
    <rPh sb="0" eb="2">
      <t>ショゾク</t>
    </rPh>
    <phoneticPr fontId="2"/>
  </si>
  <si>
    <t>職名</t>
    <rPh sb="0" eb="2">
      <t>ショクメイ</t>
    </rPh>
    <phoneticPr fontId="2"/>
  </si>
  <si>
    <t>担当者名</t>
    <rPh sb="0" eb="4">
      <t>タントウシャメイ</t>
    </rPh>
    <phoneticPr fontId="2"/>
  </si>
  <si>
    <t>メールアドレス</t>
    <phoneticPr fontId="2"/>
  </si>
  <si>
    <t>※一番右の宛名欄</t>
    <rPh sb="1" eb="4">
      <t>イチバンミギ</t>
    </rPh>
    <rPh sb="5" eb="7">
      <t>アテナ</t>
    </rPh>
    <rPh sb="7" eb="8">
      <t>ラン</t>
    </rPh>
    <phoneticPr fontId="2"/>
  </si>
  <si>
    <t>↓県担当者　作業用のものです。</t>
    <rPh sb="1" eb="5">
      <t>ケンタントウシャ</t>
    </rPh>
    <rPh sb="6" eb="8">
      <t>サギョウ</t>
    </rPh>
    <rPh sb="8" eb="9">
      <t>ヨウ</t>
    </rPh>
    <phoneticPr fontId="2"/>
  </si>
  <si>
    <t>令和４年　　月　　日</t>
    <rPh sb="0" eb="1">
      <t>レイ</t>
    </rPh>
    <rPh sb="1" eb="2">
      <t>ワ</t>
    </rPh>
    <rPh sb="3" eb="4">
      <t>ネン</t>
    </rPh>
    <rPh sb="4" eb="5">
      <t>ガンネン</t>
    </rPh>
    <rPh sb="6" eb="7">
      <t>ガツ</t>
    </rPh>
    <rPh sb="9" eb="10">
      <t>ニチ</t>
    </rPh>
    <phoneticPr fontId="2"/>
  </si>
  <si>
    <r>
      <rPr>
        <sz val="9"/>
        <color theme="1"/>
        <rFont val="ＭＳ Ｐゴシック"/>
        <family val="2"/>
      </rPr>
      <t>遮熱塗装の日射熱吸収率</t>
    </r>
    <rPh sb="7" eb="8">
      <t>ネツ</t>
    </rPh>
    <phoneticPr fontId="2"/>
  </si>
  <si>
    <t>施工
面積</t>
    <rPh sb="0" eb="2">
      <t>セコウ</t>
    </rPh>
    <rPh sb="3" eb="5">
      <t>メンセキ</t>
    </rPh>
    <phoneticPr fontId="2"/>
  </si>
  <si>
    <t>日射熱
吸収率</t>
    <rPh sb="0" eb="2">
      <t>ニッシャ</t>
    </rPh>
    <rPh sb="2" eb="3">
      <t>ネツ</t>
    </rPh>
    <rPh sb="4" eb="6">
      <t>キュウシュウ</t>
    </rPh>
    <rPh sb="6" eb="7">
      <t>リツ</t>
    </rPh>
    <phoneticPr fontId="2"/>
  </si>
  <si>
    <t>履歴</t>
    <rPh sb="0" eb="2">
      <t>リレキ</t>
    </rPh>
    <phoneticPr fontId="2"/>
  </si>
  <si>
    <t>9時、12時、15時の各方位のETD補正計算に、ROUND関数（少数点第１位）を挿入</t>
    <rPh sb="1" eb="2">
      <t>ジ</t>
    </rPh>
    <rPh sb="5" eb="6">
      <t>ジ</t>
    </rPh>
    <rPh sb="9" eb="10">
      <t>ジ</t>
    </rPh>
    <rPh sb="11" eb="12">
      <t>カク</t>
    </rPh>
    <rPh sb="12" eb="14">
      <t>ホウイ</t>
    </rPh>
    <rPh sb="18" eb="20">
      <t>ホセイ</t>
    </rPh>
    <rPh sb="20" eb="22">
      <t>ケイサン</t>
    </rPh>
    <rPh sb="29" eb="31">
      <t>カンスウ</t>
    </rPh>
    <rPh sb="32" eb="34">
      <t>ショウスウ</t>
    </rPh>
    <rPh sb="34" eb="35">
      <t>テン</t>
    </rPh>
    <rPh sb="35" eb="36">
      <t>ダイ</t>
    </rPh>
    <rPh sb="37" eb="38">
      <t>イ</t>
    </rPh>
    <rPh sb="40" eb="42">
      <t>ソウニュウ</t>
    </rPh>
    <phoneticPr fontId="2"/>
  </si>
  <si>
    <t>屋根遮熱</t>
    <rPh sb="0" eb="2">
      <t>ヤネ</t>
    </rPh>
    <rPh sb="2" eb="4">
      <t>シャネツ</t>
    </rPh>
    <phoneticPr fontId="2"/>
  </si>
  <si>
    <t>最長日射時間</t>
    <rPh sb="0" eb="2">
      <t>サイチョウ</t>
    </rPh>
    <rPh sb="2" eb="4">
      <t>ニッシャ</t>
    </rPh>
    <rPh sb="4" eb="6">
      <t>ジカン</t>
    </rPh>
    <phoneticPr fontId="2"/>
  </si>
  <si>
    <t>最長操業時間</t>
    <rPh sb="0" eb="2">
      <t>サイチョウ</t>
    </rPh>
    <rPh sb="2" eb="4">
      <t>ソウギョウ</t>
    </rPh>
    <rPh sb="4" eb="6">
      <t>ジカン</t>
    </rPh>
    <phoneticPr fontId="2"/>
  </si>
  <si>
    <t>運転時間③</t>
    <rPh sb="0" eb="2">
      <t>ウンテン</t>
    </rPh>
    <rPh sb="2" eb="4">
      <t>ジカン</t>
    </rPh>
    <phoneticPr fontId="2"/>
  </si>
  <si>
    <t>遮熱塗装による日射熱の影響と断熱施工による効果を事業所の操業時間</t>
    <rPh sb="0" eb="4">
      <t>シャネツトソウ</t>
    </rPh>
    <rPh sb="7" eb="10">
      <t>ニッシャネツ</t>
    </rPh>
    <rPh sb="11" eb="13">
      <t>エイキョウ</t>
    </rPh>
    <rPh sb="14" eb="16">
      <t>ダンネツ</t>
    </rPh>
    <rPh sb="16" eb="18">
      <t>セコウ</t>
    </rPh>
    <rPh sb="21" eb="23">
      <t>コウカ</t>
    </rPh>
    <rPh sb="24" eb="27">
      <t>ジギョウショ</t>
    </rPh>
    <rPh sb="28" eb="32">
      <t>ソウギョウジカン</t>
    </rPh>
    <phoneticPr fontId="2"/>
  </si>
  <si>
    <t>に併せて、影響時間を詳細に算出するために、表Aと表Bを追加し、計算</t>
    <rPh sb="1" eb="2">
      <t>アワ</t>
    </rPh>
    <rPh sb="5" eb="9">
      <t>エイキョウジカン</t>
    </rPh>
    <rPh sb="10" eb="12">
      <t>ショウサイ</t>
    </rPh>
    <rPh sb="13" eb="15">
      <t>サンシュツ</t>
    </rPh>
    <rPh sb="21" eb="22">
      <t>ヒョウ</t>
    </rPh>
    <rPh sb="24" eb="25">
      <t>ヒョウ</t>
    </rPh>
    <rPh sb="27" eb="29">
      <t>ツイカ</t>
    </rPh>
    <rPh sb="31" eb="33">
      <t>ケイサン</t>
    </rPh>
    <phoneticPr fontId="2"/>
  </si>
  <si>
    <t>に反映した。</t>
    <rPh sb="1" eb="3">
      <t>ハンエイ</t>
    </rPh>
    <phoneticPr fontId="2"/>
  </si>
  <si>
    <t>表A</t>
    <rPh sb="0" eb="1">
      <t>ヒョウ</t>
    </rPh>
    <phoneticPr fontId="2"/>
  </si>
  <si>
    <t>表B</t>
    <rPh sb="0" eb="1">
      <t>ヒョウ</t>
    </rPh>
    <phoneticPr fontId="2"/>
  </si>
  <si>
    <t>屋根は、日の出から日の入り迄の日照時間（日射時間）が基本となるので、１３時間とした。</t>
    <rPh sb="0" eb="2">
      <t>ヤネ</t>
    </rPh>
    <rPh sb="4" eb="5">
      <t>ヒ</t>
    </rPh>
    <rPh sb="6" eb="7">
      <t>デ</t>
    </rPh>
    <rPh sb="9" eb="10">
      <t>ヒ</t>
    </rPh>
    <rPh sb="11" eb="12">
      <t>イ</t>
    </rPh>
    <rPh sb="13" eb="14">
      <t>マデ</t>
    </rPh>
    <rPh sb="15" eb="19">
      <t>ニッショウジカン</t>
    </rPh>
    <rPh sb="20" eb="24">
      <t>ニッシャジカン</t>
    </rPh>
    <rPh sb="26" eb="28">
      <t>キホン</t>
    </rPh>
    <rPh sb="36" eb="38">
      <t>ジカン</t>
    </rPh>
    <phoneticPr fontId="2"/>
  </si>
  <si>
    <t>東西南北の各方位については、日照時間が短いので、実態に即した方位別日照時間を</t>
    <rPh sb="0" eb="4">
      <t>トウザイナンボク</t>
    </rPh>
    <rPh sb="5" eb="8">
      <t>カクホウイ</t>
    </rPh>
    <rPh sb="14" eb="18">
      <t>ニッショウジカン</t>
    </rPh>
    <rPh sb="19" eb="20">
      <t>ミジカ</t>
    </rPh>
    <rPh sb="24" eb="26">
      <t>ジッタイ</t>
    </rPh>
    <rPh sb="27" eb="28">
      <t>ソク</t>
    </rPh>
    <rPh sb="30" eb="33">
      <t>ホウイベツ</t>
    </rPh>
    <rPh sb="33" eb="37">
      <t>ニッショウジカン</t>
    </rPh>
    <phoneticPr fontId="2"/>
  </si>
  <si>
    <t>採用する。</t>
    <rPh sb="0" eb="2">
      <t>サイヨウ</t>
    </rPh>
    <phoneticPr fontId="2"/>
  </si>
  <si>
    <t>計算結果</t>
    <rPh sb="0" eb="4">
      <t>ケイサンケッカ</t>
    </rPh>
    <phoneticPr fontId="2"/>
  </si>
  <si>
    <t>項目</t>
    <rPh sb="0" eb="2">
      <t>コウモク</t>
    </rPh>
    <phoneticPr fontId="2"/>
  </si>
  <si>
    <t>冷房負荷（W）</t>
    <rPh sb="0" eb="4">
      <t>レイボウフカ</t>
    </rPh>
    <phoneticPr fontId="2"/>
  </si>
  <si>
    <t>暖房負荷
（W）</t>
    <rPh sb="0" eb="4">
      <t>ダンボウフカ</t>
    </rPh>
    <phoneticPr fontId="2"/>
  </si>
  <si>
    <t>備考</t>
    <rPh sb="0" eb="2">
      <t>ビコウ</t>
    </rPh>
    <phoneticPr fontId="2"/>
  </si>
  <si>
    <t>９時</t>
    <rPh sb="1" eb="2">
      <t>ジ</t>
    </rPh>
    <phoneticPr fontId="2"/>
  </si>
  <si>
    <t>１２時</t>
    <rPh sb="2" eb="3">
      <t>ジ</t>
    </rPh>
    <phoneticPr fontId="2"/>
  </si>
  <si>
    <t>１５時</t>
    <rPh sb="2" eb="3">
      <t>ジ</t>
    </rPh>
    <phoneticPr fontId="2"/>
  </si>
  <si>
    <t>A</t>
    <phoneticPr fontId="2"/>
  </si>
  <si>
    <t>導入前</t>
    <rPh sb="0" eb="3">
      <t>ドウニュウマエ</t>
    </rPh>
    <phoneticPr fontId="2"/>
  </si>
  <si>
    <t>屋根遮熱の場合、暖房負荷計算上、空調負荷に換算しないため、最大熱負荷計算上、無視する値となっているので、便宜上、示しているが、暑さ対策上も、これに基づいて、削減効果はないものとして、以後、計算する。</t>
    <rPh sb="0" eb="2">
      <t>ヤネ</t>
    </rPh>
    <rPh sb="2" eb="4">
      <t>シャネツ</t>
    </rPh>
    <rPh sb="5" eb="7">
      <t>バアイ</t>
    </rPh>
    <rPh sb="8" eb="12">
      <t>ダンボウフカ</t>
    </rPh>
    <rPh sb="12" eb="15">
      <t>ケイサンジョウ</t>
    </rPh>
    <rPh sb="16" eb="20">
      <t>クウチョウフカ</t>
    </rPh>
    <rPh sb="21" eb="23">
      <t>カンサン</t>
    </rPh>
    <rPh sb="29" eb="34">
      <t>サイダイネツフカ</t>
    </rPh>
    <rPh sb="34" eb="37">
      <t>ケイサンジョウ</t>
    </rPh>
    <rPh sb="38" eb="40">
      <t>ムシ</t>
    </rPh>
    <rPh sb="42" eb="43">
      <t>アタイ</t>
    </rPh>
    <rPh sb="52" eb="55">
      <t>ベンギジョウ</t>
    </rPh>
    <rPh sb="56" eb="57">
      <t>シメ</t>
    </rPh>
    <rPh sb="63" eb="64">
      <t>アツ</t>
    </rPh>
    <rPh sb="65" eb="68">
      <t>タイサクジョウ</t>
    </rPh>
    <rPh sb="73" eb="74">
      <t>モト</t>
    </rPh>
    <rPh sb="78" eb="82">
      <t>サクゲンコウカ</t>
    </rPh>
    <rPh sb="91" eb="93">
      <t>イゴ</t>
    </rPh>
    <rPh sb="94" eb="96">
      <t>ケイサン</t>
    </rPh>
    <phoneticPr fontId="2"/>
  </si>
  <si>
    <t>B</t>
    <phoneticPr fontId="2"/>
  </si>
  <si>
    <t>導入後</t>
    <rPh sb="0" eb="3">
      <t>ドウニュウゴ</t>
    </rPh>
    <phoneticPr fontId="2"/>
  </si>
  <si>
    <t>C=A-B</t>
    <phoneticPr fontId="2"/>
  </si>
  <si>
    <t>削減量</t>
    <rPh sb="0" eb="3">
      <t>サクゲンリョウ</t>
    </rPh>
    <phoneticPr fontId="2"/>
  </si>
  <si>
    <t>冷房負荷削減量（W）</t>
    <rPh sb="0" eb="2">
      <t>レイボウ</t>
    </rPh>
    <rPh sb="2" eb="4">
      <t>フカ</t>
    </rPh>
    <rPh sb="4" eb="7">
      <t>サクゲンリョウ</t>
    </rPh>
    <phoneticPr fontId="2"/>
  </si>
  <si>
    <t>冷房負荷の採用値は、９時、１２時、１５時の最大値とする。</t>
    <rPh sb="0" eb="4">
      <t>レイボウフカ</t>
    </rPh>
    <rPh sb="5" eb="8">
      <t>サイヨウチ</t>
    </rPh>
    <phoneticPr fontId="2"/>
  </si>
  <si>
    <t>E</t>
    <phoneticPr fontId="2"/>
  </si>
  <si>
    <t>日射時間
(h/日）</t>
    <rPh sb="0" eb="4">
      <t>ニッシャジカン</t>
    </rPh>
    <rPh sb="8" eb="9">
      <t>ヒ</t>
    </rPh>
    <phoneticPr fontId="2"/>
  </si>
  <si>
    <t>当該事業所の営業・操業時間に基づくに日射時間、但し、最大値は、１３時間とする。</t>
    <rPh sb="0" eb="5">
      <t>トウガイジギョウショ</t>
    </rPh>
    <rPh sb="6" eb="8">
      <t>エイギョウ</t>
    </rPh>
    <rPh sb="9" eb="11">
      <t>ソウギョウ</t>
    </rPh>
    <rPh sb="11" eb="13">
      <t>ジカン</t>
    </rPh>
    <rPh sb="14" eb="15">
      <t>モト</t>
    </rPh>
    <rPh sb="18" eb="20">
      <t>ニッシャ</t>
    </rPh>
    <rPh sb="20" eb="22">
      <t>ジカン</t>
    </rPh>
    <rPh sb="23" eb="24">
      <t>タダ</t>
    </rPh>
    <rPh sb="26" eb="28">
      <t>サイダイ</t>
    </rPh>
    <rPh sb="28" eb="29">
      <t>アタイ</t>
    </rPh>
    <rPh sb="33" eb="35">
      <t>ジカン</t>
    </rPh>
    <phoneticPr fontId="2"/>
  </si>
  <si>
    <t>①＝D×E</t>
    <phoneticPr fontId="2"/>
  </si>
  <si>
    <t>一日当たりの冷房負荷削減量（W・ｈ/日）</t>
    <rPh sb="0" eb="3">
      <t>イチニチア</t>
    </rPh>
    <rPh sb="6" eb="8">
      <t>レイボウ</t>
    </rPh>
    <rPh sb="8" eb="10">
      <t>フカ</t>
    </rPh>
    <rPh sb="10" eb="13">
      <t>サクゲンリョウ</t>
    </rPh>
    <rPh sb="18" eb="19">
      <t>ヒ</t>
    </rPh>
    <phoneticPr fontId="2"/>
  </si>
  <si>
    <t>W・ｈ/日</t>
    <rPh sb="4" eb="5">
      <t>ヒ</t>
    </rPh>
    <phoneticPr fontId="2"/>
  </si>
  <si>
    <t>月当たり運転日数</t>
    <rPh sb="0" eb="2">
      <t>ツキア</t>
    </rPh>
    <rPh sb="4" eb="8">
      <t>ウンテンニッスウ</t>
    </rPh>
    <phoneticPr fontId="2"/>
  </si>
  <si>
    <t>一日当りの冷房負荷削減量</t>
    <phoneticPr fontId="2"/>
  </si>
  <si>
    <t>一日当りの暖房負荷削減量</t>
    <rPh sb="5" eb="7">
      <t>ダンボウ</t>
    </rPh>
    <phoneticPr fontId="2"/>
  </si>
  <si>
    <t>日射時間と操業時間の矛盾点改修、冷房負荷係数・暖房負荷係数見直し</t>
    <rPh sb="0" eb="4">
      <t>ニッシャジカン</t>
    </rPh>
    <rPh sb="5" eb="9">
      <t>ソウギョウジカン</t>
    </rPh>
    <rPh sb="10" eb="13">
      <t>ムジュンテン</t>
    </rPh>
    <rPh sb="13" eb="15">
      <t>カイシュウ</t>
    </rPh>
    <rPh sb="16" eb="20">
      <t>レイボウフカ</t>
    </rPh>
    <rPh sb="20" eb="22">
      <t>ケイスウ</t>
    </rPh>
    <rPh sb="23" eb="29">
      <t>ダンボウフカケイスウ</t>
    </rPh>
    <rPh sb="29" eb="31">
      <t>ミナオ</t>
    </rPh>
    <phoneticPr fontId="2"/>
  </si>
  <si>
    <t>５月と１０月の冷房と暖房の振り分け比率を廃止、冷房負荷係数、暖房負荷係数に反映</t>
    <rPh sb="1" eb="2">
      <t>ガツ</t>
    </rPh>
    <rPh sb="5" eb="6">
      <t>ガツ</t>
    </rPh>
    <rPh sb="7" eb="9">
      <t>レイボウ</t>
    </rPh>
    <rPh sb="10" eb="12">
      <t>ダンボウ</t>
    </rPh>
    <rPh sb="13" eb="14">
      <t>フ</t>
    </rPh>
    <rPh sb="15" eb="16">
      <t>ワ</t>
    </rPh>
    <rPh sb="17" eb="19">
      <t>ヒリツ</t>
    </rPh>
    <rPh sb="20" eb="22">
      <t>ハイシ</t>
    </rPh>
    <rPh sb="23" eb="29">
      <t>レイボウフカケイスウ</t>
    </rPh>
    <rPh sb="30" eb="36">
      <t>ダンボウフカケイスウ</t>
    </rPh>
    <rPh sb="37" eb="39">
      <t>ハンエイ</t>
    </rPh>
    <phoneticPr fontId="2"/>
  </si>
  <si>
    <t>最大熱負荷計算結果×０．７＝平均熱負荷計算とする。</t>
    <rPh sb="0" eb="5">
      <t>サイダイネツフカ</t>
    </rPh>
    <rPh sb="5" eb="9">
      <t>ケイサンケッカ</t>
    </rPh>
    <rPh sb="14" eb="16">
      <t>ヘイキン</t>
    </rPh>
    <rPh sb="16" eb="21">
      <t>ネツフカケイサン</t>
    </rPh>
    <phoneticPr fontId="2"/>
  </si>
  <si>
    <t>暖房
負荷（W）</t>
    <rPh sb="0" eb="2">
      <t>ダンボウ</t>
    </rPh>
    <rPh sb="3" eb="5">
      <t>フカ</t>
    </rPh>
    <phoneticPr fontId="2"/>
  </si>
  <si>
    <t>A:導入前</t>
    <rPh sb="2" eb="5">
      <t>ドウニュウマエ</t>
    </rPh>
    <phoneticPr fontId="2"/>
  </si>
  <si>
    <t>合計</t>
    <rPh sb="0" eb="2">
      <t>ゴウケイ</t>
    </rPh>
    <phoneticPr fontId="2"/>
  </si>
  <si>
    <t>D
時間帯合計値の最大値の方位別冷房負荷（計算採用値）</t>
    <rPh sb="2" eb="5">
      <t>ジカンタイ</t>
    </rPh>
    <rPh sb="5" eb="8">
      <t>ゴウケイチ</t>
    </rPh>
    <rPh sb="9" eb="12">
      <t>サイダイチ</t>
    </rPh>
    <rPh sb="13" eb="16">
      <t>ホウイベツ</t>
    </rPh>
    <rPh sb="16" eb="20">
      <t>レイボウフカ</t>
    </rPh>
    <rPh sb="21" eb="23">
      <t>ケイサン</t>
    </rPh>
    <rPh sb="23" eb="26">
      <t>サイヨウチ</t>
    </rPh>
    <phoneticPr fontId="2"/>
  </si>
  <si>
    <t>①
＝ΣD×E
方位別
日冷房
負荷
削減量
（W・h/日）</t>
    <rPh sb="8" eb="11">
      <t>ホウイベツ</t>
    </rPh>
    <rPh sb="12" eb="13">
      <t>ニチ</t>
    </rPh>
    <rPh sb="13" eb="15">
      <t>レイボウ</t>
    </rPh>
    <rPh sb="16" eb="18">
      <t>フカ</t>
    </rPh>
    <rPh sb="19" eb="21">
      <t>サクゲン</t>
    </rPh>
    <rPh sb="21" eb="22">
      <t>リョウ</t>
    </rPh>
    <rPh sb="28" eb="29">
      <t>ヒ</t>
    </rPh>
    <phoneticPr fontId="2"/>
  </si>
  <si>
    <t>F
時間帯合計値の最大値の方位別暖房負荷（計算採用値）</t>
    <rPh sb="2" eb="5">
      <t>ジカンタイ</t>
    </rPh>
    <rPh sb="5" eb="8">
      <t>ゴウケイチ</t>
    </rPh>
    <rPh sb="9" eb="12">
      <t>サイダイチ</t>
    </rPh>
    <rPh sb="13" eb="16">
      <t>ホウイベツ</t>
    </rPh>
    <rPh sb="16" eb="18">
      <t>ダンボウ</t>
    </rPh>
    <rPh sb="18" eb="20">
      <t>フカ</t>
    </rPh>
    <rPh sb="21" eb="23">
      <t>ケイサン</t>
    </rPh>
    <rPh sb="23" eb="26">
      <t>サイヨウチ</t>
    </rPh>
    <phoneticPr fontId="2"/>
  </si>
  <si>
    <t>B:導入後</t>
    <rPh sb="2" eb="4">
      <t>ドウニュウ</t>
    </rPh>
    <rPh sb="4" eb="5">
      <t>ゴ</t>
    </rPh>
    <phoneticPr fontId="2"/>
  </si>
  <si>
    <t>C＝A-B
削減量</t>
    <rPh sb="6" eb="9">
      <t>サクゲンリョウ</t>
    </rPh>
    <phoneticPr fontId="2"/>
  </si>
  <si>
    <t>最大値</t>
    <rPh sb="0" eb="3">
      <t>サイダイチ</t>
    </rPh>
    <phoneticPr fontId="2"/>
  </si>
  <si>
    <t>kg-CO2/(㎡年)</t>
    <phoneticPr fontId="2"/>
  </si>
  <si>
    <t>㎡</t>
    <phoneticPr fontId="2"/>
  </si>
  <si>
    <t>但し、冷房は、５月と１０月は、０．７×０．２５＝０．１７５とする。</t>
    <rPh sb="0" eb="1">
      <t>タダ</t>
    </rPh>
    <rPh sb="3" eb="5">
      <t>レイボウ</t>
    </rPh>
    <rPh sb="8" eb="9">
      <t>ガツ</t>
    </rPh>
    <rPh sb="12" eb="13">
      <t>ガツ</t>
    </rPh>
    <phoneticPr fontId="2"/>
  </si>
  <si>
    <t>暖房は、５月と１０月は、０．８×０．２５＝０．２とする。</t>
    <rPh sb="0" eb="2">
      <t>ダンボウ</t>
    </rPh>
    <rPh sb="1" eb="2">
      <t>フサ</t>
    </rPh>
    <rPh sb="5" eb="6">
      <t>ガツ</t>
    </rPh>
    <rPh sb="9" eb="10">
      <t>ガツ</t>
    </rPh>
    <phoneticPr fontId="2"/>
  </si>
  <si>
    <t>当該事業所の営業・操業時間に基づく</t>
    <rPh sb="0" eb="5">
      <t>トウガイジギョウショ</t>
    </rPh>
    <rPh sb="6" eb="8">
      <t>エイギョウ</t>
    </rPh>
    <rPh sb="9" eb="11">
      <t>ソウギョウ</t>
    </rPh>
    <rPh sb="11" eb="13">
      <t>ジカン</t>
    </rPh>
    <rPh sb="14" eb="15">
      <t>モト</t>
    </rPh>
    <phoneticPr fontId="2"/>
  </si>
  <si>
    <t>操業時間、操業時間の入力エラー機能を追加</t>
    <rPh sb="0" eb="4">
      <t>ソウギョウジカン</t>
    </rPh>
    <rPh sb="5" eb="9">
      <t>ソウギョウジカン</t>
    </rPh>
    <rPh sb="10" eb="12">
      <t>ニュウリョク</t>
    </rPh>
    <rPh sb="15" eb="17">
      <t>キノウ</t>
    </rPh>
    <rPh sb="18" eb="20">
      <t>ツイカ</t>
    </rPh>
    <phoneticPr fontId="2"/>
  </si>
  <si>
    <t>１日は、２４時間以内であること。２４時間を超えるとエラーになる。</t>
    <rPh sb="1" eb="2">
      <t>ヒ</t>
    </rPh>
    <rPh sb="6" eb="8">
      <t>ジカン</t>
    </rPh>
    <rPh sb="8" eb="10">
      <t>イナイ</t>
    </rPh>
    <rPh sb="18" eb="20">
      <t>ジカン</t>
    </rPh>
    <rPh sb="21" eb="22">
      <t>コ</t>
    </rPh>
    <phoneticPr fontId="2"/>
  </si>
  <si>
    <t>１ケ月は、３０日未満であること。３０日を超えるとエラーになる。</t>
    <rPh sb="2" eb="3">
      <t>ツキ</t>
    </rPh>
    <rPh sb="7" eb="8">
      <t>ヒ</t>
    </rPh>
    <rPh sb="8" eb="10">
      <t>ミマン</t>
    </rPh>
    <rPh sb="18" eb="19">
      <t>ヒ</t>
    </rPh>
    <rPh sb="20" eb="21">
      <t>コ</t>
    </rPh>
    <phoneticPr fontId="2"/>
  </si>
  <si>
    <t>なお、３６５/１２で算出すると、３０．４１７日/月となるので、上限は、３０．５とする。</t>
    <rPh sb="10" eb="12">
      <t>サンシュツ</t>
    </rPh>
    <rPh sb="22" eb="23">
      <t>ヒ</t>
    </rPh>
    <rPh sb="24" eb="25">
      <t>ツキ</t>
    </rPh>
    <rPh sb="31" eb="33">
      <t>ジョウゲン</t>
    </rPh>
    <phoneticPr fontId="2"/>
  </si>
  <si>
    <t>E
操業時間
(h/日)</t>
    <rPh sb="2" eb="6">
      <t>ソウギョウジカン</t>
    </rPh>
    <rPh sb="10" eb="11">
      <t>ヒ</t>
    </rPh>
    <phoneticPr fontId="2"/>
  </si>
  <si>
    <t>操業時間
(h/日）</t>
    <rPh sb="0" eb="2">
      <t>ソウギョウ</t>
    </rPh>
    <rPh sb="2" eb="4">
      <t>ジカン</t>
    </rPh>
    <rPh sb="8" eb="9">
      <t>ヒ</t>
    </rPh>
    <phoneticPr fontId="2"/>
  </si>
  <si>
    <t>屋根断熱・外壁断熱・窓断熱</t>
    <rPh sb="0" eb="2">
      <t>ヤネ</t>
    </rPh>
    <rPh sb="2" eb="4">
      <t>ダンネツ</t>
    </rPh>
    <rPh sb="5" eb="9">
      <t>ガイヘキダンネツ</t>
    </rPh>
    <rPh sb="10" eb="11">
      <t>マド</t>
    </rPh>
    <rPh sb="11" eb="13">
      <t>ダンネツ</t>
    </rPh>
    <phoneticPr fontId="2"/>
  </si>
  <si>
    <t>外壁・窓の方位別日射時間（遮熱）</t>
    <rPh sb="0" eb="2">
      <t>ガイヘキ</t>
    </rPh>
    <rPh sb="3" eb="4">
      <t>マド</t>
    </rPh>
    <rPh sb="5" eb="8">
      <t>ホウイベツ</t>
    </rPh>
    <rPh sb="8" eb="10">
      <t>ニッシャ</t>
    </rPh>
    <rPh sb="10" eb="12">
      <t>ジカン</t>
    </rPh>
    <rPh sb="13" eb="15">
      <t>シャネツ</t>
    </rPh>
    <phoneticPr fontId="2"/>
  </si>
  <si>
    <r>
      <rPr>
        <sz val="11"/>
        <color theme="1"/>
        <rFont val="ＭＳ Ｐゴシック"/>
        <family val="2"/>
      </rPr>
      <t>施工面積</t>
    </r>
    <r>
      <rPr>
        <sz val="11"/>
        <color theme="1"/>
        <rFont val="Arial"/>
        <family val="2"/>
      </rPr>
      <t>(</t>
    </r>
    <r>
      <rPr>
        <sz val="11"/>
        <color theme="1"/>
        <rFont val="Segoe UI Symbol"/>
        <family val="2"/>
      </rPr>
      <t>㎡</t>
    </r>
    <r>
      <rPr>
        <sz val="11"/>
        <color theme="1"/>
        <rFont val="Arial"/>
        <family val="2"/>
      </rPr>
      <t>)</t>
    </r>
    <rPh sb="0" eb="2">
      <t>セコウ</t>
    </rPh>
    <rPh sb="2" eb="4">
      <t>メンセキ</t>
    </rPh>
    <phoneticPr fontId="2"/>
  </si>
  <si>
    <r>
      <t>W/(</t>
    </r>
    <r>
      <rPr>
        <sz val="11"/>
        <color theme="1"/>
        <rFont val="Segoe UI Symbol"/>
        <family val="2"/>
      </rPr>
      <t>㎡</t>
    </r>
    <r>
      <rPr>
        <sz val="11"/>
        <color theme="1"/>
        <rFont val="Arial"/>
        <family val="2"/>
      </rPr>
      <t>K)</t>
    </r>
    <phoneticPr fontId="2"/>
  </si>
  <si>
    <r>
      <rPr>
        <sz val="11"/>
        <color theme="1"/>
        <rFont val="Segoe UI Symbol"/>
        <family val="2"/>
      </rPr>
      <t>★</t>
    </r>
    <r>
      <rPr>
        <sz val="11"/>
        <color theme="1"/>
        <rFont val="ＭＳ Ｐゴシック"/>
        <family val="2"/>
      </rPr>
      <t>デフォルト値：</t>
    </r>
    <r>
      <rPr>
        <sz val="11"/>
        <color theme="1"/>
        <rFont val="Arial"/>
        <family val="2"/>
      </rPr>
      <t>3.91W/(</t>
    </r>
    <r>
      <rPr>
        <sz val="11"/>
        <color theme="1"/>
        <rFont val="Segoe UI Symbol"/>
        <family val="2"/>
      </rPr>
      <t>㎡</t>
    </r>
    <r>
      <rPr>
        <sz val="11"/>
        <color theme="1"/>
        <rFont val="Arial"/>
        <family val="2"/>
      </rPr>
      <t>K)</t>
    </r>
    <rPh sb="6" eb="7">
      <t>チ</t>
    </rPh>
    <phoneticPr fontId="2"/>
  </si>
  <si>
    <r>
      <rPr>
        <sz val="11"/>
        <color theme="1"/>
        <rFont val="Segoe UI Symbol"/>
        <family val="2"/>
      </rPr>
      <t>★</t>
    </r>
    <r>
      <rPr>
        <sz val="11"/>
        <color theme="1"/>
        <rFont val="ＭＳ Ｐゴシック"/>
        <family val="2"/>
      </rPr>
      <t>デフォルト値：</t>
    </r>
    <r>
      <rPr>
        <sz val="11"/>
        <color theme="1"/>
        <rFont val="Arial"/>
        <family val="2"/>
      </rPr>
      <t>1.18W/(</t>
    </r>
    <r>
      <rPr>
        <sz val="11"/>
        <color theme="1"/>
        <rFont val="Segoe UI Symbol"/>
        <family val="2"/>
      </rPr>
      <t>㎡</t>
    </r>
    <r>
      <rPr>
        <sz val="11"/>
        <color theme="1"/>
        <rFont val="Arial"/>
        <family val="2"/>
      </rPr>
      <t>K)</t>
    </r>
    <rPh sb="6" eb="7">
      <t>チ</t>
    </rPh>
    <phoneticPr fontId="2"/>
  </si>
  <si>
    <r>
      <t>5.95W/(</t>
    </r>
    <r>
      <rPr>
        <sz val="11"/>
        <color theme="1"/>
        <rFont val="Segoe UI Symbol"/>
        <family val="2"/>
      </rPr>
      <t>㎡</t>
    </r>
    <r>
      <rPr>
        <sz val="11"/>
        <color theme="1"/>
        <rFont val="Arial"/>
        <family val="2"/>
      </rPr>
      <t>K)</t>
    </r>
    <phoneticPr fontId="2"/>
  </si>
  <si>
    <r>
      <t>W/(</t>
    </r>
    <r>
      <rPr>
        <sz val="10"/>
        <color theme="1"/>
        <rFont val="Segoe UI Symbol"/>
        <family val="2"/>
      </rPr>
      <t>㎡</t>
    </r>
    <r>
      <rPr>
        <sz val="10"/>
        <color theme="1"/>
        <rFont val="Arial"/>
        <family val="2"/>
      </rPr>
      <t>K)</t>
    </r>
    <phoneticPr fontId="2"/>
  </si>
  <si>
    <t>㎡</t>
    <phoneticPr fontId="2"/>
  </si>
  <si>
    <r>
      <t>W/</t>
    </r>
    <r>
      <rPr>
        <sz val="11"/>
        <color theme="1"/>
        <rFont val="Segoe UI Symbol"/>
        <family val="2"/>
      </rPr>
      <t>㎡</t>
    </r>
    <phoneticPr fontId="2"/>
  </si>
  <si>
    <t>対策前の屋根仕様は、金属板(1.5mm)、吹付けロックウール(60mm)の複層とする。</t>
    <rPh sb="0" eb="2">
      <t>タイサク</t>
    </rPh>
    <rPh sb="2" eb="3">
      <t>マエ</t>
    </rPh>
    <rPh sb="4" eb="6">
      <t>ヤネ</t>
    </rPh>
    <rPh sb="6" eb="8">
      <t>シヨウ</t>
    </rPh>
    <rPh sb="10" eb="12">
      <t>キンゾク</t>
    </rPh>
    <rPh sb="12" eb="13">
      <t>イタ</t>
    </rPh>
    <phoneticPr fontId="2"/>
  </si>
  <si>
    <t>入力様式と同様に、このシート上も、月当たりの操業日数や一日の操業時間の入力値に、明らかな誤りが生じた場合は、この計算上もエラーとなるように二重化している。</t>
    <rPh sb="0" eb="4">
      <t>ニュウリョクヨウシキ</t>
    </rPh>
    <rPh sb="5" eb="7">
      <t>ドウヨウ</t>
    </rPh>
    <rPh sb="14" eb="15">
      <t>ウエ</t>
    </rPh>
    <rPh sb="17" eb="19">
      <t>ツキア</t>
    </rPh>
    <rPh sb="22" eb="26">
      <t>ソウギョウニッスウ</t>
    </rPh>
    <rPh sb="27" eb="29">
      <t>イチニチ</t>
    </rPh>
    <rPh sb="30" eb="34">
      <t>ソウギョウジカン</t>
    </rPh>
    <rPh sb="35" eb="37">
      <t>ニュウリョク</t>
    </rPh>
    <rPh sb="37" eb="38">
      <t>アタイ</t>
    </rPh>
    <rPh sb="40" eb="41">
      <t>アキ</t>
    </rPh>
    <rPh sb="44" eb="45">
      <t>アヤマ</t>
    </rPh>
    <rPh sb="47" eb="48">
      <t>ショウ</t>
    </rPh>
    <rPh sb="50" eb="52">
      <t>バアイ</t>
    </rPh>
    <rPh sb="56" eb="58">
      <t>ケイサン</t>
    </rPh>
    <rPh sb="58" eb="59">
      <t>ウエ</t>
    </rPh>
    <rPh sb="69" eb="72">
      <t>ニジュウカ</t>
    </rPh>
    <phoneticPr fontId="2"/>
  </si>
  <si>
    <t>方位によって重複する時間がある。</t>
    <rPh sb="0" eb="2">
      <t>ホウイ</t>
    </rPh>
    <rPh sb="6" eb="8">
      <t>ジュウフク</t>
    </rPh>
    <rPh sb="10" eb="12">
      <t>ジカン</t>
    </rPh>
    <phoneticPr fontId="2"/>
  </si>
  <si>
    <t>１．２遮熱塗装</t>
    <rPh sb="3" eb="5">
      <t>シャネツ</t>
    </rPh>
    <rPh sb="5" eb="7">
      <t>トソウ</t>
    </rPh>
    <phoneticPr fontId="2"/>
  </si>
  <si>
    <t>２．１断熱</t>
    <rPh sb="3" eb="5">
      <t>ダンネツ</t>
    </rPh>
    <phoneticPr fontId="2"/>
  </si>
  <si>
    <t>２．２遮熱塗装</t>
    <rPh sb="3" eb="5">
      <t>シャネツ</t>
    </rPh>
    <rPh sb="5" eb="7">
      <t>トソウ</t>
    </rPh>
    <phoneticPr fontId="2"/>
  </si>
  <si>
    <t>断熱の場合、年間を通じて、断熱効果による冷暖房負荷の低減が期待できるので、両者の削減量を加味する。断熱は、暑さ対策と同時に寒さ対策の効果もある。</t>
    <rPh sb="0" eb="2">
      <t>ダンネツ</t>
    </rPh>
    <rPh sb="3" eb="5">
      <t>バアイ</t>
    </rPh>
    <rPh sb="6" eb="8">
      <t>ネンカン</t>
    </rPh>
    <rPh sb="9" eb="10">
      <t>ツウ</t>
    </rPh>
    <rPh sb="13" eb="15">
      <t>ダンネツ</t>
    </rPh>
    <rPh sb="15" eb="17">
      <t>コウカ</t>
    </rPh>
    <rPh sb="20" eb="25">
      <t>レイダンボウフカ</t>
    </rPh>
    <rPh sb="26" eb="28">
      <t>テイゲン</t>
    </rPh>
    <rPh sb="29" eb="31">
      <t>キタイ</t>
    </rPh>
    <rPh sb="37" eb="39">
      <t>リョウシャ</t>
    </rPh>
    <rPh sb="40" eb="42">
      <t>サクゲン</t>
    </rPh>
    <rPh sb="42" eb="43">
      <t>リョウ</t>
    </rPh>
    <rPh sb="44" eb="46">
      <t>カミ</t>
    </rPh>
    <rPh sb="49" eb="51">
      <t>ダンネツ</t>
    </rPh>
    <rPh sb="53" eb="54">
      <t>アツ</t>
    </rPh>
    <rPh sb="55" eb="57">
      <t>タイサク</t>
    </rPh>
    <rPh sb="58" eb="60">
      <t>ドウジ</t>
    </rPh>
    <rPh sb="61" eb="62">
      <t>サム</t>
    </rPh>
    <rPh sb="63" eb="65">
      <t>タイサク</t>
    </rPh>
    <rPh sb="66" eb="68">
      <t>コウカ</t>
    </rPh>
    <phoneticPr fontId="2"/>
  </si>
  <si>
    <t>入力項目</t>
    <rPh sb="0" eb="4">
      <t>ニュウリョクコウモク</t>
    </rPh>
    <phoneticPr fontId="2"/>
  </si>
  <si>
    <t>算定結果</t>
    <rPh sb="0" eb="4">
      <t>サンテイケッカ</t>
    </rPh>
    <phoneticPr fontId="2"/>
  </si>
  <si>
    <t>ｍｍ</t>
    <phoneticPr fontId="2"/>
  </si>
  <si>
    <t>W/㎡K</t>
    <phoneticPr fontId="2"/>
  </si>
  <si>
    <t>断熱材の熱伝導率</t>
    <rPh sb="0" eb="2">
      <t>ダンネツ</t>
    </rPh>
    <rPh sb="2" eb="3">
      <t>ザイ</t>
    </rPh>
    <rPh sb="4" eb="5">
      <t>ネツ</t>
    </rPh>
    <rPh sb="5" eb="8">
      <t>デンドウリツ</t>
    </rPh>
    <phoneticPr fontId="2"/>
  </si>
  <si>
    <t>W/mK</t>
    <phoneticPr fontId="2"/>
  </si>
  <si>
    <t>日射熱反射率</t>
    <rPh sb="0" eb="3">
      <t>ニッシャネツ</t>
    </rPh>
    <rPh sb="3" eb="6">
      <t>ハンシャリツ</t>
    </rPh>
    <phoneticPr fontId="2"/>
  </si>
  <si>
    <t>％</t>
    <phoneticPr fontId="2"/>
  </si>
  <si>
    <t>日射熱吸収率</t>
    <rPh sb="0" eb="3">
      <t>ニッシャネツ</t>
    </rPh>
    <rPh sb="3" eb="6">
      <t>キュウシュウリツ</t>
    </rPh>
    <phoneticPr fontId="2"/>
  </si>
  <si>
    <t>日射熱</t>
    <rPh sb="0" eb="3">
      <t>ニッシャネツ</t>
    </rPh>
    <phoneticPr fontId="2"/>
  </si>
  <si>
    <t>日射熱吸収率＝（100%－日射熱反射率(%)）</t>
    <rPh sb="0" eb="3">
      <t>ニッシャネツ</t>
    </rPh>
    <rPh sb="3" eb="6">
      <t>キュウシュウリツ</t>
    </rPh>
    <rPh sb="13" eb="16">
      <t>ニッシャネツ</t>
    </rPh>
    <rPh sb="16" eb="19">
      <t>ハンシャリツ</t>
    </rPh>
    <phoneticPr fontId="2"/>
  </si>
  <si>
    <t>暑さ対策用断熱材名称</t>
    <rPh sb="0" eb="1">
      <t>アツ</t>
    </rPh>
    <rPh sb="2" eb="4">
      <t>タイサク</t>
    </rPh>
    <rPh sb="4" eb="5">
      <t>ヨウ</t>
    </rPh>
    <rPh sb="5" eb="7">
      <t>ダンネツ</t>
    </rPh>
    <rPh sb="7" eb="8">
      <t>ザイ</t>
    </rPh>
    <rPh sb="8" eb="10">
      <t>メイショウ</t>
    </rPh>
    <phoneticPr fontId="2"/>
  </si>
  <si>
    <t>λｓ：熱伝導率
W/(m・K)</t>
    <phoneticPr fontId="2"/>
  </si>
  <si>
    <t>グラスウール断熱材通常品</t>
    <phoneticPr fontId="2"/>
  </si>
  <si>
    <t>グラスウール断熱材１０K</t>
    <phoneticPr fontId="2"/>
  </si>
  <si>
    <t>グラスウール断熱材１２K</t>
  </si>
  <si>
    <t>グラスウール断熱材１６K</t>
    <phoneticPr fontId="2"/>
  </si>
  <si>
    <t>グラスウール断熱材２０K</t>
    <phoneticPr fontId="2"/>
  </si>
  <si>
    <t>グラスウール断熱材２４K</t>
    <phoneticPr fontId="2"/>
  </si>
  <si>
    <t>グラスウール断熱材３２K</t>
    <phoneticPr fontId="2"/>
  </si>
  <si>
    <t>グラスウール断熱材４０K</t>
    <phoneticPr fontId="2"/>
  </si>
  <si>
    <t>グラスウール断熱材４８K</t>
    <phoneticPr fontId="2"/>
  </si>
  <si>
    <t>グラスウール断熱材６４K</t>
    <phoneticPr fontId="2"/>
  </si>
  <si>
    <t>グラスウール断熱材８０K</t>
    <phoneticPr fontId="2"/>
  </si>
  <si>
    <t>グラスウール断熱材９６K</t>
    <phoneticPr fontId="2"/>
  </si>
  <si>
    <t>グラスウール断熱材高性能品</t>
    <phoneticPr fontId="2"/>
  </si>
  <si>
    <t>高性能グラスウール断熱材１０K</t>
    <phoneticPr fontId="2"/>
  </si>
  <si>
    <t>高性能グラスウール断熱材１２K</t>
    <phoneticPr fontId="2"/>
  </si>
  <si>
    <t>高性能グラスウール断熱材１４K</t>
  </si>
  <si>
    <t>高性能グラスウール断熱材１６K</t>
  </si>
  <si>
    <t>高性能グラスウール断熱材２０K</t>
  </si>
  <si>
    <t>高性能グラスウール断熱材２４K</t>
    <phoneticPr fontId="2"/>
  </si>
  <si>
    <t>高性能グラスウール断熱材２８K</t>
  </si>
  <si>
    <t>高性能グラスウール断熱材３２K</t>
  </si>
  <si>
    <t>高性能グラスウール断熱材３６K</t>
  </si>
  <si>
    <t>高性能グラスウール断熱材３８K</t>
    <phoneticPr fontId="2"/>
  </si>
  <si>
    <t>高性能グラスウール断熱材４０K</t>
  </si>
  <si>
    <t>高性能グラスウール断熱材４８K</t>
  </si>
  <si>
    <t>吹込み用グラスウール断熱材</t>
    <phoneticPr fontId="2"/>
  </si>
  <si>
    <t>吹込み用グラスウール１３K</t>
    <rPh sb="0" eb="2">
      <t>フキコ</t>
    </rPh>
    <phoneticPr fontId="2"/>
  </si>
  <si>
    <t>吹込み用グラスウール１８K</t>
    <rPh sb="0" eb="2">
      <t>フキコ</t>
    </rPh>
    <phoneticPr fontId="2"/>
  </si>
  <si>
    <t>吹込み用グラスウール３０K</t>
    <rPh sb="0" eb="2">
      <t>フキコ</t>
    </rPh>
    <phoneticPr fontId="2"/>
  </si>
  <si>
    <t>吹込み用グラスウール３５K</t>
    <rPh sb="0" eb="2">
      <t>フキコ</t>
    </rPh>
    <phoneticPr fontId="2"/>
  </si>
  <si>
    <t>ロックウール断熱材</t>
    <phoneticPr fontId="2"/>
  </si>
  <si>
    <t>ロックウール断熱材・マット24Ｋ以上</t>
    <phoneticPr fontId="2"/>
  </si>
  <si>
    <t>ロックウール断熱材・マット30Ｋ以上</t>
    <phoneticPr fontId="2"/>
  </si>
  <si>
    <t>ロックウール断熱材・マット40Ｋ以上</t>
    <phoneticPr fontId="2"/>
  </si>
  <si>
    <t>ロックウール断熱材・フェルト</t>
    <phoneticPr fontId="2"/>
  </si>
  <si>
    <t>ロックウール断熱材・ボード</t>
    <phoneticPr fontId="2"/>
  </si>
  <si>
    <t>吹込み用ロックウール断熱材</t>
    <rPh sb="3" eb="4">
      <t>ヨウ</t>
    </rPh>
    <phoneticPr fontId="2"/>
  </si>
  <si>
    <t>天井用</t>
    <rPh sb="0" eb="3">
      <t>テンジョウヨウ</t>
    </rPh>
    <phoneticPr fontId="2"/>
  </si>
  <si>
    <t>屋根・床・壁用</t>
    <rPh sb="0" eb="2">
      <t>ヤネ</t>
    </rPh>
    <rPh sb="3" eb="4">
      <t>ユカ</t>
    </rPh>
    <rPh sb="5" eb="6">
      <t>カベ</t>
    </rPh>
    <rPh sb="6" eb="7">
      <t>ヨウ</t>
    </rPh>
    <phoneticPr fontId="2"/>
  </si>
  <si>
    <t>吹付けロックウール</t>
    <phoneticPr fontId="2"/>
  </si>
  <si>
    <t>吹込み用セルローズファイバー断熱材</t>
    <phoneticPr fontId="2"/>
  </si>
  <si>
    <t>天井用・屋根・床・壁用</t>
    <rPh sb="0" eb="3">
      <t>テンジョウヨウ</t>
    </rPh>
    <rPh sb="4" eb="6">
      <t>ヤネ</t>
    </rPh>
    <rPh sb="7" eb="8">
      <t>ユカ</t>
    </rPh>
    <rPh sb="9" eb="10">
      <t>カベ</t>
    </rPh>
    <rPh sb="10" eb="11">
      <t>ヨウ</t>
    </rPh>
    <phoneticPr fontId="2"/>
  </si>
  <si>
    <t>押出法ポリスチレンフォーム断熱材</t>
    <phoneticPr fontId="2"/>
  </si>
  <si>
    <t>押出法ポリスチレンフォーム１種</t>
    <phoneticPr fontId="2"/>
  </si>
  <si>
    <t>押出法ポリスチレンフォーム２種</t>
  </si>
  <si>
    <t>押出法ポリスチレンフォーム３種</t>
  </si>
  <si>
    <t>ポリエチレンフォーム断熱材</t>
    <phoneticPr fontId="2"/>
  </si>
  <si>
    <t>A 種ポリエチレンフォーム保温板1 種</t>
    <phoneticPr fontId="2"/>
  </si>
  <si>
    <t>A 種ポリエチレンフォーム保温板2 種</t>
  </si>
  <si>
    <t>A 種ポリエチレンフォーム保温板3 種</t>
  </si>
  <si>
    <t>ビーズ法ポリスチレンフォーム断熱材</t>
    <phoneticPr fontId="2"/>
  </si>
  <si>
    <t>ビーズ法ポリスチレンフォーム特号</t>
    <rPh sb="14" eb="15">
      <t>トク</t>
    </rPh>
    <phoneticPr fontId="2"/>
  </si>
  <si>
    <t>ビーズ法ポリスチレンフォーム1 号</t>
    <phoneticPr fontId="2"/>
  </si>
  <si>
    <t>ビーズ法ポリスチレンフォーム2 号</t>
  </si>
  <si>
    <t>ビーズ法ポリスチレンフォーム3 号</t>
  </si>
  <si>
    <t>ビーズ法ポリスチレンフォーム4 号</t>
  </si>
  <si>
    <t>硬質ウレタンフォーム断熱材</t>
    <phoneticPr fontId="2"/>
  </si>
  <si>
    <t>硬質ウレタンフォーム1 種</t>
    <phoneticPr fontId="2"/>
  </si>
  <si>
    <t>硬質ウレタンフォーム2 種1 号</t>
    <phoneticPr fontId="2"/>
  </si>
  <si>
    <t>硬質ウレタンフォーム2 種2 号</t>
  </si>
  <si>
    <t>硬質ウレタンフォーム2 種3 号</t>
  </si>
  <si>
    <t>硬質ウレタンフォーム2 種4 号</t>
  </si>
  <si>
    <t>吹付け硬質ウレタンフォーム</t>
    <phoneticPr fontId="2"/>
  </si>
  <si>
    <t>吹付け硬質ウレタンフォームA 種１</t>
    <phoneticPr fontId="2"/>
  </si>
  <si>
    <t>吹付け硬質ウレタンフォームA 種１H</t>
    <phoneticPr fontId="2"/>
  </si>
  <si>
    <t>吹付け硬質ウレタンフォームA 種３</t>
    <phoneticPr fontId="2"/>
  </si>
  <si>
    <t>フェノールフォーム断熱材</t>
    <phoneticPr fontId="2"/>
  </si>
  <si>
    <t>フェノールフォーム１種</t>
    <phoneticPr fontId="2"/>
  </si>
  <si>
    <t>フェノールフォーム2 種1 号</t>
    <phoneticPr fontId="2"/>
  </si>
  <si>
    <t>フェノールフォーム2 種2 号</t>
  </si>
  <si>
    <t>フェノールフォーム2 種3 号</t>
  </si>
  <si>
    <t>フェノールフォーム3 種1 号</t>
    <phoneticPr fontId="2"/>
  </si>
  <si>
    <t>インシュレーションファイバー断熱材</t>
    <phoneticPr fontId="2"/>
  </si>
  <si>
    <t>ファイバーマット</t>
    <phoneticPr fontId="2"/>
  </si>
  <si>
    <t>ファイバーボード</t>
    <phoneticPr fontId="2"/>
  </si>
  <si>
    <t>その他</t>
    <rPh sb="2" eb="3">
      <t>タ</t>
    </rPh>
    <phoneticPr fontId="2"/>
  </si>
  <si>
    <t>暑さ対策の影響は、方位によって日射の影響時間が異なる。</t>
    <rPh sb="0" eb="1">
      <t>アツ</t>
    </rPh>
    <rPh sb="2" eb="4">
      <t>タイサク</t>
    </rPh>
    <rPh sb="5" eb="7">
      <t>エイキョウ</t>
    </rPh>
    <rPh sb="9" eb="11">
      <t>ホウイ</t>
    </rPh>
    <rPh sb="15" eb="17">
      <t>ニッシャ</t>
    </rPh>
    <rPh sb="18" eb="22">
      <t>エイキョウジカン</t>
    </rPh>
    <rPh sb="23" eb="24">
      <t>コト</t>
    </rPh>
    <phoneticPr fontId="2"/>
  </si>
  <si>
    <t>屋根・窓・壁の遮熱に有効な時間の計算式</t>
    <rPh sb="0" eb="2">
      <t>ヤネ</t>
    </rPh>
    <rPh sb="3" eb="4">
      <t>マド</t>
    </rPh>
    <rPh sb="5" eb="6">
      <t>カベ</t>
    </rPh>
    <rPh sb="7" eb="9">
      <t>シャネツ</t>
    </rPh>
    <rPh sb="10" eb="12">
      <t>ユウコウ</t>
    </rPh>
    <rPh sb="13" eb="15">
      <t>ジカン</t>
    </rPh>
    <rPh sb="16" eb="18">
      <t>ケイサン</t>
    </rPh>
    <rPh sb="18" eb="19">
      <t>シキ</t>
    </rPh>
    <phoneticPr fontId="2"/>
  </si>
  <si>
    <t>暑さ対策の日射の影響は、下記時間を標準とする。</t>
    <rPh sb="0" eb="1">
      <t>アツ</t>
    </rPh>
    <rPh sb="2" eb="4">
      <t>タイサク</t>
    </rPh>
    <rPh sb="5" eb="7">
      <t>ニッシャ</t>
    </rPh>
    <rPh sb="8" eb="10">
      <t>エイキョウ</t>
    </rPh>
    <rPh sb="12" eb="14">
      <t>カキ</t>
    </rPh>
    <rPh sb="14" eb="16">
      <t>ジカン</t>
    </rPh>
    <rPh sb="17" eb="19">
      <t>ヒョウジュン</t>
    </rPh>
    <phoneticPr fontId="2"/>
  </si>
  <si>
    <t>断熱計算については、操業時間をそのまま熱計算に使用する。</t>
    <rPh sb="0" eb="2">
      <t>ダンネツ</t>
    </rPh>
    <rPh sb="2" eb="4">
      <t>ケイサン</t>
    </rPh>
    <rPh sb="10" eb="12">
      <t>ソウギョウ</t>
    </rPh>
    <rPh sb="12" eb="14">
      <t>ジカン</t>
    </rPh>
    <rPh sb="19" eb="20">
      <t>ネツ</t>
    </rPh>
    <rPh sb="20" eb="22">
      <t>ケイサン</t>
    </rPh>
    <rPh sb="23" eb="25">
      <t>シヨウ</t>
    </rPh>
    <phoneticPr fontId="2"/>
  </si>
  <si>
    <t>なお、断熱による暑さ対策は、事業所の操業時間により、算出する。</t>
    <rPh sb="3" eb="5">
      <t>ダンネツ</t>
    </rPh>
    <rPh sb="8" eb="9">
      <t>アツ</t>
    </rPh>
    <rPh sb="10" eb="12">
      <t>タイサク</t>
    </rPh>
    <rPh sb="14" eb="17">
      <t>ジギョウショ</t>
    </rPh>
    <rPh sb="18" eb="22">
      <t>ソウギョウジカン</t>
    </rPh>
    <rPh sb="26" eb="28">
      <t>サンシュツ</t>
    </rPh>
    <phoneticPr fontId="2"/>
  </si>
  <si>
    <t>遮熱は、日射熱の影響であるため、基本的に日の出から日没の時間に限り、また、方位の要素を加味する。</t>
    <rPh sb="0" eb="2">
      <t>シャネツ</t>
    </rPh>
    <rPh sb="4" eb="6">
      <t>ニッシャ</t>
    </rPh>
    <rPh sb="6" eb="7">
      <t>ネツ</t>
    </rPh>
    <rPh sb="8" eb="10">
      <t>エイキョウ</t>
    </rPh>
    <rPh sb="16" eb="19">
      <t>キホンテキ</t>
    </rPh>
    <rPh sb="20" eb="21">
      <t>ヒ</t>
    </rPh>
    <rPh sb="22" eb="23">
      <t>デ</t>
    </rPh>
    <rPh sb="25" eb="27">
      <t>ニチボツ</t>
    </rPh>
    <rPh sb="28" eb="30">
      <t>ジカン</t>
    </rPh>
    <rPh sb="31" eb="32">
      <t>カギ</t>
    </rPh>
    <rPh sb="37" eb="39">
      <t>ホウイ</t>
    </rPh>
    <rPh sb="40" eb="42">
      <t>ヨウソ</t>
    </rPh>
    <rPh sb="43" eb="45">
      <t>カミ</t>
    </rPh>
    <phoneticPr fontId="2"/>
  </si>
  <si>
    <t>暑さ対策算出上の日射熱・温度差の影響する算定標準時間</t>
    <rPh sb="0" eb="1">
      <t>アツ</t>
    </rPh>
    <rPh sb="2" eb="4">
      <t>タイサク</t>
    </rPh>
    <rPh sb="4" eb="7">
      <t>サンシュツジョウ</t>
    </rPh>
    <rPh sb="8" eb="11">
      <t>ニッシャネツ</t>
    </rPh>
    <rPh sb="12" eb="15">
      <t>オンドサ</t>
    </rPh>
    <rPh sb="16" eb="18">
      <t>エイキョウ</t>
    </rPh>
    <rPh sb="20" eb="22">
      <t>サンテイ</t>
    </rPh>
    <rPh sb="22" eb="26">
      <t>ヒョウジュンジカン</t>
    </rPh>
    <phoneticPr fontId="2"/>
  </si>
  <si>
    <t>例えば、東面は、午前中は日射の影響を受けるが、午後は日射の影響が極端に小さくなる。</t>
    <rPh sb="0" eb="1">
      <t>タト</t>
    </rPh>
    <rPh sb="4" eb="5">
      <t>ヒガシ</t>
    </rPh>
    <rPh sb="5" eb="6">
      <t>メン</t>
    </rPh>
    <rPh sb="8" eb="10">
      <t>ゴゼン</t>
    </rPh>
    <rPh sb="10" eb="11">
      <t>チュウ</t>
    </rPh>
    <rPh sb="12" eb="14">
      <t>ニッシャ</t>
    </rPh>
    <rPh sb="15" eb="17">
      <t>エイキョウ</t>
    </rPh>
    <rPh sb="18" eb="19">
      <t>ウ</t>
    </rPh>
    <rPh sb="23" eb="25">
      <t>ゴゴ</t>
    </rPh>
    <rPh sb="26" eb="28">
      <t>ニッシャ</t>
    </rPh>
    <rPh sb="29" eb="31">
      <t>エイキョウ</t>
    </rPh>
    <rPh sb="32" eb="34">
      <t>キョクタン</t>
    </rPh>
    <rPh sb="35" eb="36">
      <t>チイ</t>
    </rPh>
    <phoneticPr fontId="2"/>
  </si>
  <si>
    <t>暑さ対策</t>
    <rPh sb="0" eb="1">
      <t>アツ</t>
    </rPh>
    <rPh sb="2" eb="4">
      <t>タイサク</t>
    </rPh>
    <phoneticPr fontId="2"/>
  </si>
  <si>
    <t>算定時間</t>
    <rPh sb="0" eb="4">
      <t>サンテイジカン</t>
    </rPh>
    <phoneticPr fontId="2"/>
  </si>
  <si>
    <t>暑さの要素</t>
    <rPh sb="0" eb="1">
      <t>アツ</t>
    </rPh>
    <rPh sb="3" eb="5">
      <t>ヨウソ</t>
    </rPh>
    <phoneticPr fontId="2"/>
  </si>
  <si>
    <t>１０時～１４時</t>
    <rPh sb="2" eb="3">
      <t>ジ</t>
    </rPh>
    <rPh sb="6" eb="7">
      <t>ジ</t>
    </rPh>
    <phoneticPr fontId="2"/>
  </si>
  <si>
    <t>遮熱塗料</t>
    <rPh sb="0" eb="2">
      <t>シャネツ</t>
    </rPh>
    <rPh sb="2" eb="4">
      <t>トリョウ</t>
    </rPh>
    <phoneticPr fontId="2"/>
  </si>
  <si>
    <t>断熱</t>
    <rPh sb="0" eb="2">
      <t>ダンネツ</t>
    </rPh>
    <phoneticPr fontId="2"/>
  </si>
  <si>
    <t>※</t>
    <phoneticPr fontId="2"/>
  </si>
  <si>
    <t>※：事業所操業時間</t>
    <rPh sb="2" eb="5">
      <t>ジギョウショ</t>
    </rPh>
    <rPh sb="5" eb="9">
      <t>ソウギョウジカン</t>
    </rPh>
    <phoneticPr fontId="2"/>
  </si>
  <si>
    <t>10時</t>
    <rPh sb="2" eb="3">
      <t>ジ</t>
    </rPh>
    <phoneticPr fontId="2"/>
  </si>
  <si>
    <t>14時</t>
    <rPh sb="2" eb="3">
      <t>ジ</t>
    </rPh>
    <phoneticPr fontId="2"/>
  </si>
  <si>
    <t>常時、日影</t>
    <rPh sb="0" eb="2">
      <t>ジョウジ</t>
    </rPh>
    <rPh sb="3" eb="5">
      <t>ヒカゲ</t>
    </rPh>
    <phoneticPr fontId="2"/>
  </si>
  <si>
    <t>午前</t>
    <rPh sb="0" eb="2">
      <t>ゴゼン</t>
    </rPh>
    <phoneticPr fontId="2"/>
  </si>
  <si>
    <t>13時～日没の時間</t>
    <rPh sb="2" eb="3">
      <t>ジ</t>
    </rPh>
    <rPh sb="4" eb="6">
      <t>ニチボツ</t>
    </rPh>
    <rPh sb="7" eb="9">
      <t>ジカン</t>
    </rPh>
    <phoneticPr fontId="2"/>
  </si>
  <si>
    <t>午前～午後</t>
    <rPh sb="0" eb="2">
      <t>ゴゼン</t>
    </rPh>
    <rPh sb="3" eb="5">
      <t>ゴゴ</t>
    </rPh>
    <phoneticPr fontId="2"/>
  </si>
  <si>
    <t>日の出</t>
    <rPh sb="0" eb="1">
      <t>ヒ</t>
    </rPh>
    <rPh sb="2" eb="3">
      <t>デ</t>
    </rPh>
    <phoneticPr fontId="2"/>
  </si>
  <si>
    <t>日没</t>
    <rPh sb="0" eb="2">
      <t>ニチボツ</t>
    </rPh>
    <phoneticPr fontId="2"/>
  </si>
  <si>
    <t>午後</t>
    <rPh sb="0" eb="2">
      <t>ゴゴ</t>
    </rPh>
    <phoneticPr fontId="2"/>
  </si>
  <si>
    <t>日の出～１１時</t>
    <rPh sb="0" eb="1">
      <t>ヒ</t>
    </rPh>
    <rPh sb="2" eb="3">
      <t>デ</t>
    </rPh>
    <rPh sb="6" eb="7">
      <t>ジ</t>
    </rPh>
    <phoneticPr fontId="2"/>
  </si>
  <si>
    <t>北：日陰なので、日射の影響は「ほぼゼロ」</t>
    <rPh sb="0" eb="1">
      <t>キタ</t>
    </rPh>
    <rPh sb="2" eb="4">
      <t>ヒカゲ</t>
    </rPh>
    <rPh sb="8" eb="10">
      <t>ニッシャ</t>
    </rPh>
    <rPh sb="11" eb="13">
      <t>エイキョウ</t>
    </rPh>
    <phoneticPr fontId="2"/>
  </si>
  <si>
    <t>同様に、西面は、午前中は日射の影響が極端に小さいが、午後は日射の影響を受ける。他の方位も同様である。</t>
    <rPh sb="0" eb="2">
      <t>ドウヨウ</t>
    </rPh>
    <rPh sb="4" eb="5">
      <t>ニシ</t>
    </rPh>
    <rPh sb="5" eb="6">
      <t>メン</t>
    </rPh>
    <rPh sb="8" eb="11">
      <t>ゴゼンチュウ</t>
    </rPh>
    <rPh sb="12" eb="14">
      <t>ニッシャ</t>
    </rPh>
    <rPh sb="15" eb="17">
      <t>エイキョウ</t>
    </rPh>
    <rPh sb="18" eb="20">
      <t>キョクタン</t>
    </rPh>
    <rPh sb="21" eb="22">
      <t>チイ</t>
    </rPh>
    <rPh sb="26" eb="28">
      <t>ゴゴ</t>
    </rPh>
    <rPh sb="29" eb="31">
      <t>ニッシャ</t>
    </rPh>
    <rPh sb="32" eb="34">
      <t>エイキョウ</t>
    </rPh>
    <rPh sb="35" eb="36">
      <t>ウ</t>
    </rPh>
    <rPh sb="39" eb="40">
      <t>タ</t>
    </rPh>
    <rPh sb="41" eb="43">
      <t>ホウイ</t>
    </rPh>
    <rPh sb="44" eb="46">
      <t>ドウヨウ</t>
    </rPh>
    <phoneticPr fontId="2"/>
  </si>
  <si>
    <t>黄色：様式とリンク</t>
    <rPh sb="0" eb="2">
      <t>キイロ</t>
    </rPh>
    <rPh sb="3" eb="5">
      <t>ヨウシキ</t>
    </rPh>
    <phoneticPr fontId="2"/>
  </si>
  <si>
    <t>補正時間のプログラム式</t>
    <rPh sb="0" eb="2">
      <t>ホセイ</t>
    </rPh>
    <rPh sb="2" eb="4">
      <t>ジカン</t>
    </rPh>
    <rPh sb="10" eb="11">
      <t>シキ</t>
    </rPh>
    <phoneticPr fontId="2"/>
  </si>
  <si>
    <t>方位別日射熱受熱時間</t>
    <phoneticPr fontId="2"/>
  </si>
  <si>
    <t>標準時間</t>
    <rPh sb="0" eb="2">
      <t>ヒョウジュン</t>
    </rPh>
    <rPh sb="2" eb="4">
      <t>ジカン</t>
    </rPh>
    <phoneticPr fontId="2"/>
  </si>
  <si>
    <t>補正時間</t>
    <rPh sb="0" eb="2">
      <t>ホセイ</t>
    </rPh>
    <rPh sb="2" eb="4">
      <t>ジカン</t>
    </rPh>
    <phoneticPr fontId="2"/>
  </si>
  <si>
    <t>計算時間</t>
    <rPh sb="0" eb="2">
      <t>ケイサン</t>
    </rPh>
    <rPh sb="2" eb="4">
      <t>ジカン</t>
    </rPh>
    <phoneticPr fontId="2"/>
  </si>
  <si>
    <t>月当たり日数</t>
    <rPh sb="0" eb="1">
      <t>ツキ</t>
    </rPh>
    <rPh sb="1" eb="2">
      <t>ア</t>
    </rPh>
    <rPh sb="4" eb="6">
      <t>ニッスウ</t>
    </rPh>
    <phoneticPr fontId="2"/>
  </si>
  <si>
    <t>月時間</t>
    <rPh sb="0" eb="1">
      <t>ツキ</t>
    </rPh>
    <rPh sb="1" eb="3">
      <t>ジカン</t>
    </rPh>
    <phoneticPr fontId="2"/>
  </si>
  <si>
    <t>操業時間</t>
    <rPh sb="0" eb="2">
      <t>ソウギョウ</t>
    </rPh>
    <rPh sb="2" eb="4">
      <t>ジカン</t>
    </rPh>
    <phoneticPr fontId="2"/>
  </si>
  <si>
    <t>標準＋補正</t>
    <rPh sb="0" eb="2">
      <t>ヒョウジュン</t>
    </rPh>
    <rPh sb="3" eb="5">
      <t>ホセイ</t>
    </rPh>
    <phoneticPr fontId="2"/>
  </si>
  <si>
    <t>6時～18時</t>
    <rPh sb="1" eb="2">
      <t>ジ</t>
    </rPh>
    <rPh sb="5" eb="6">
      <t>ジ</t>
    </rPh>
    <phoneticPr fontId="2"/>
  </si>
  <si>
    <t>IF(E4&lt;=E5,E4,IF(E4&gt;=13,E5))</t>
    <phoneticPr fontId="2"/>
  </si>
  <si>
    <t>（日影）</t>
    <rPh sb="1" eb="3">
      <t>ヒカゲ</t>
    </rPh>
    <phoneticPr fontId="2"/>
  </si>
  <si>
    <t>※北面は日影であり日射の影響無</t>
    <rPh sb="1" eb="2">
      <t>キタ</t>
    </rPh>
    <rPh sb="2" eb="3">
      <t>メン</t>
    </rPh>
    <rPh sb="4" eb="6">
      <t>ヒカゲ</t>
    </rPh>
    <rPh sb="9" eb="11">
      <t>ニッシャ</t>
    </rPh>
    <rPh sb="12" eb="14">
      <t>エイキョウ</t>
    </rPh>
    <rPh sb="14" eb="15">
      <t>ナシ</t>
    </rPh>
    <phoneticPr fontId="2"/>
  </si>
  <si>
    <t>6時～10時</t>
    <rPh sb="1" eb="2">
      <t>ジ</t>
    </rPh>
    <rPh sb="5" eb="6">
      <t>ジ</t>
    </rPh>
    <phoneticPr fontId="2"/>
  </si>
  <si>
    <t>IF(E4&gt;=9.1,0,IF(E4&lt;=9.1,-2.5))</t>
    <phoneticPr fontId="2"/>
  </si>
  <si>
    <t>6時～11時</t>
    <rPh sb="1" eb="2">
      <t>ジ</t>
    </rPh>
    <rPh sb="5" eb="6">
      <t>ジ</t>
    </rPh>
    <phoneticPr fontId="2"/>
  </si>
  <si>
    <t>6時～12時</t>
    <rPh sb="1" eb="2">
      <t>ジ</t>
    </rPh>
    <rPh sb="5" eb="6">
      <t>ジ</t>
    </rPh>
    <phoneticPr fontId="2"/>
  </si>
  <si>
    <t>遮熱シート・LOW-E等</t>
    <rPh sb="0" eb="2">
      <t>シャネツ</t>
    </rPh>
    <rPh sb="11" eb="12">
      <t>ナド</t>
    </rPh>
    <phoneticPr fontId="2"/>
  </si>
  <si>
    <t>10時～14時</t>
    <rPh sb="2" eb="3">
      <t>ジ</t>
    </rPh>
    <rPh sb="6" eb="7">
      <t>ジ</t>
    </rPh>
    <phoneticPr fontId="2"/>
  </si>
  <si>
    <t>補正無</t>
    <rPh sb="0" eb="2">
      <t>ホセイ</t>
    </rPh>
    <rPh sb="2" eb="3">
      <t>ナシ</t>
    </rPh>
    <phoneticPr fontId="2"/>
  </si>
  <si>
    <t>12時～18時</t>
    <rPh sb="2" eb="3">
      <t>ジ</t>
    </rPh>
    <rPh sb="6" eb="7">
      <t>ジ</t>
    </rPh>
    <phoneticPr fontId="2"/>
  </si>
  <si>
    <t>IF(E4&gt;=9.1,0,IF(E4&lt;=9.1,-0.5))</t>
    <phoneticPr fontId="2"/>
  </si>
  <si>
    <t>13時～18時</t>
    <rPh sb="2" eb="3">
      <t>ジ</t>
    </rPh>
    <rPh sb="6" eb="7">
      <t>ジ</t>
    </rPh>
    <phoneticPr fontId="2"/>
  </si>
  <si>
    <t>14時～18時</t>
    <rPh sb="2" eb="3">
      <t>ジ</t>
    </rPh>
    <rPh sb="6" eb="7">
      <t>ジ</t>
    </rPh>
    <phoneticPr fontId="2"/>
  </si>
  <si>
    <t>※基本９時間とし、８:30～17:30勤務を基本にしている。</t>
    <rPh sb="1" eb="3">
      <t>キホン</t>
    </rPh>
    <rPh sb="4" eb="6">
      <t>ジカン</t>
    </rPh>
    <rPh sb="19" eb="21">
      <t>キンム</t>
    </rPh>
    <rPh sb="22" eb="24">
      <t>キホン</t>
    </rPh>
    <phoneticPr fontId="2"/>
  </si>
  <si>
    <t>操業時間がこれより長い場合は、補正しないが日照時間の上限は守る。</t>
    <rPh sb="0" eb="2">
      <t>ソウギョウ</t>
    </rPh>
    <rPh sb="2" eb="4">
      <t>ジカン</t>
    </rPh>
    <rPh sb="9" eb="10">
      <t>ナガ</t>
    </rPh>
    <rPh sb="11" eb="13">
      <t>バアイ</t>
    </rPh>
    <rPh sb="15" eb="17">
      <t>ホセイ</t>
    </rPh>
    <rPh sb="21" eb="23">
      <t>ニッショウ</t>
    </rPh>
    <rPh sb="23" eb="25">
      <t>ジカン</t>
    </rPh>
    <rPh sb="26" eb="28">
      <t>ジョウゲン</t>
    </rPh>
    <rPh sb="29" eb="30">
      <t>マモ</t>
    </rPh>
    <phoneticPr fontId="2"/>
  </si>
  <si>
    <t>８:30～17:30を前後する場合は、無視する。</t>
    <rPh sb="11" eb="13">
      <t>ゼンゴ</t>
    </rPh>
    <rPh sb="15" eb="17">
      <t>バアイ</t>
    </rPh>
    <rPh sb="19" eb="21">
      <t>ムシ</t>
    </rPh>
    <phoneticPr fontId="2"/>
  </si>
  <si>
    <t>LOW-E窓等</t>
    <rPh sb="5" eb="6">
      <t>マド</t>
    </rPh>
    <rPh sb="6" eb="7">
      <t>ナド</t>
    </rPh>
    <phoneticPr fontId="2"/>
  </si>
  <si>
    <t>5時</t>
    <rPh sb="1" eb="2">
      <t>ジ</t>
    </rPh>
    <phoneticPr fontId="2"/>
  </si>
  <si>
    <t>6時</t>
    <rPh sb="1" eb="2">
      <t>ジ</t>
    </rPh>
    <phoneticPr fontId="2"/>
  </si>
  <si>
    <t>7時</t>
    <rPh sb="1" eb="2">
      <t>ジ</t>
    </rPh>
    <phoneticPr fontId="2"/>
  </si>
  <si>
    <t>8時</t>
    <rPh sb="1" eb="2">
      <t>ジ</t>
    </rPh>
    <phoneticPr fontId="2"/>
  </si>
  <si>
    <t>9時</t>
    <rPh sb="1" eb="2">
      <t>ジ</t>
    </rPh>
    <phoneticPr fontId="2"/>
  </si>
  <si>
    <t>11時</t>
    <rPh sb="2" eb="3">
      <t>ジ</t>
    </rPh>
    <phoneticPr fontId="2"/>
  </si>
  <si>
    <t>12時</t>
    <rPh sb="2" eb="3">
      <t>ジ</t>
    </rPh>
    <phoneticPr fontId="2"/>
  </si>
  <si>
    <t>13時</t>
    <rPh sb="2" eb="3">
      <t>ジ</t>
    </rPh>
    <phoneticPr fontId="2"/>
  </si>
  <si>
    <t>休憩１h</t>
    <rPh sb="0" eb="2">
      <t>キュウケイ</t>
    </rPh>
    <phoneticPr fontId="2"/>
  </si>
  <si>
    <t>15時</t>
    <rPh sb="2" eb="3">
      <t>ジ</t>
    </rPh>
    <phoneticPr fontId="2"/>
  </si>
  <si>
    <t>16時</t>
    <rPh sb="2" eb="3">
      <t>ジ</t>
    </rPh>
    <phoneticPr fontId="2"/>
  </si>
  <si>
    <t>17時</t>
    <rPh sb="2" eb="3">
      <t>ジ</t>
    </rPh>
    <phoneticPr fontId="2"/>
  </si>
  <si>
    <t>18時</t>
    <rPh sb="2" eb="3">
      <t>ジ</t>
    </rPh>
    <phoneticPr fontId="2"/>
  </si>
  <si>
    <t>19時</t>
    <rPh sb="2" eb="3">
      <t>ジ</t>
    </rPh>
    <phoneticPr fontId="2"/>
  </si>
  <si>
    <t>20時</t>
    <rPh sb="2" eb="3">
      <t>ジ</t>
    </rPh>
    <phoneticPr fontId="2"/>
  </si>
  <si>
    <t>【参考資料】屋根・外壁における暑さ対策の内、「断熱を行う場合」の熱貫流率の簡易算定方法</t>
    <rPh sb="1" eb="5">
      <t>サンコウシリョウ</t>
    </rPh>
    <rPh sb="6" eb="8">
      <t>ヤネ</t>
    </rPh>
    <rPh sb="9" eb="11">
      <t>ガイヘキ</t>
    </rPh>
    <rPh sb="15" eb="16">
      <t>アツ</t>
    </rPh>
    <rPh sb="17" eb="19">
      <t>タイサク</t>
    </rPh>
    <rPh sb="20" eb="21">
      <t>ウチ</t>
    </rPh>
    <rPh sb="23" eb="25">
      <t>ダンネツ</t>
    </rPh>
    <rPh sb="26" eb="27">
      <t>オコナ</t>
    </rPh>
    <rPh sb="28" eb="30">
      <t>バアイ</t>
    </rPh>
    <rPh sb="32" eb="33">
      <t>ネツ</t>
    </rPh>
    <rPh sb="33" eb="35">
      <t>カンリュウ</t>
    </rPh>
    <rPh sb="35" eb="36">
      <t>リツ</t>
    </rPh>
    <rPh sb="37" eb="39">
      <t>カンイ</t>
    </rPh>
    <rPh sb="39" eb="41">
      <t>サンテイ</t>
    </rPh>
    <rPh sb="41" eb="43">
      <t>ホウホウ</t>
    </rPh>
    <phoneticPr fontId="2"/>
  </si>
  <si>
    <t>既設の建物の屋根、外壁の熱貫流率が算定できない場合で、暑さ対策(断熱に限る）後の熱貫流率</t>
    <rPh sb="0" eb="2">
      <t>キセツ</t>
    </rPh>
    <rPh sb="3" eb="5">
      <t>タテモノ</t>
    </rPh>
    <rPh sb="6" eb="8">
      <t>ヤネ</t>
    </rPh>
    <rPh sb="9" eb="11">
      <t>ガイヘキ</t>
    </rPh>
    <rPh sb="12" eb="13">
      <t>ネツ</t>
    </rPh>
    <rPh sb="13" eb="15">
      <t>カンリュウ</t>
    </rPh>
    <rPh sb="15" eb="16">
      <t>リツ</t>
    </rPh>
    <rPh sb="17" eb="19">
      <t>サンテイ</t>
    </rPh>
    <rPh sb="23" eb="25">
      <t>バアイ</t>
    </rPh>
    <rPh sb="27" eb="28">
      <t>アツ</t>
    </rPh>
    <rPh sb="29" eb="31">
      <t>タイサク</t>
    </rPh>
    <rPh sb="32" eb="34">
      <t>ダンネツ</t>
    </rPh>
    <rPh sb="35" eb="36">
      <t>カギ</t>
    </rPh>
    <rPh sb="38" eb="39">
      <t>ゴ</t>
    </rPh>
    <rPh sb="40" eb="41">
      <t>ネツ</t>
    </rPh>
    <rPh sb="41" eb="43">
      <t>カンリュウ</t>
    </rPh>
    <rPh sb="43" eb="44">
      <t>リツ</t>
    </rPh>
    <phoneticPr fontId="2"/>
  </si>
  <si>
    <t>を算出する場合、下記の算定式により、概算し、求めることができる。</t>
    <rPh sb="11" eb="13">
      <t>サンテイ</t>
    </rPh>
    <rPh sb="13" eb="14">
      <t>シキ</t>
    </rPh>
    <rPh sb="18" eb="20">
      <t>ガイサン</t>
    </rPh>
    <rPh sb="22" eb="23">
      <t>モト</t>
    </rPh>
    <phoneticPr fontId="2"/>
  </si>
  <si>
    <t>基本式は、下記の（１．１）式および（１．２）式である。</t>
    <rPh sb="0" eb="3">
      <t>キホンシキ</t>
    </rPh>
    <rPh sb="5" eb="7">
      <t>カキ</t>
    </rPh>
    <rPh sb="13" eb="14">
      <t>シキ</t>
    </rPh>
    <rPh sb="22" eb="23">
      <t>シキ</t>
    </rPh>
    <phoneticPr fontId="2"/>
  </si>
  <si>
    <t>屋根・壁の熱貫流率（K）＝1/屋根・壁の熱抵抗値（R）・・・・・（１．１）</t>
    <rPh sb="0" eb="2">
      <t>ヤネ</t>
    </rPh>
    <rPh sb="5" eb="9">
      <t>ネツカンリュウリツ</t>
    </rPh>
    <rPh sb="15" eb="17">
      <t>ヤネ</t>
    </rPh>
    <rPh sb="18" eb="19">
      <t>カベ</t>
    </rPh>
    <rPh sb="20" eb="23">
      <t>ネツテイコウ</t>
    </rPh>
    <rPh sb="23" eb="24">
      <t>アタイ</t>
    </rPh>
    <phoneticPr fontId="2"/>
  </si>
  <si>
    <t>暑さ対策後の屋根・壁の熱抵抗値(1/K2）＝既存の屋根・壁の熱抵抗(1/K1）</t>
    <rPh sb="0" eb="1">
      <t>アツ</t>
    </rPh>
    <rPh sb="2" eb="5">
      <t>タイサクゴ</t>
    </rPh>
    <rPh sb="6" eb="8">
      <t>ヤネ</t>
    </rPh>
    <rPh sb="9" eb="10">
      <t>カベ</t>
    </rPh>
    <rPh sb="11" eb="14">
      <t>ネツテイコウ</t>
    </rPh>
    <rPh sb="14" eb="15">
      <t>アタイ</t>
    </rPh>
    <rPh sb="22" eb="24">
      <t>キゾン</t>
    </rPh>
    <rPh sb="25" eb="27">
      <t>ヤネ</t>
    </rPh>
    <rPh sb="28" eb="29">
      <t>カベ</t>
    </rPh>
    <rPh sb="30" eb="33">
      <t>ネツテイコウ</t>
    </rPh>
    <phoneticPr fontId="2"/>
  </si>
  <si>
    <t>＋暑さ対策で付加した断熱施工の熱抵抗値（ds/λｓ）・・・・・・・（１．２）</t>
    <phoneticPr fontId="2"/>
  </si>
  <si>
    <t>（１／Ｋ２）＝(1/K1）＋（ds/λｓ）・・・・・・・・・（１．３）、これを展開したものが（１．４）式となる。</t>
    <rPh sb="39" eb="41">
      <t>テンカイ</t>
    </rPh>
    <rPh sb="51" eb="52">
      <t>シキ</t>
    </rPh>
    <phoneticPr fontId="2"/>
  </si>
  <si>
    <t>注記）</t>
    <rPh sb="0" eb="2">
      <t>チュウキ</t>
    </rPh>
    <phoneticPr fontId="2"/>
  </si>
  <si>
    <t>概算計算のため、断熱施工時の仕上げ材などは、省略する。</t>
    <rPh sb="0" eb="2">
      <t>ガイサン</t>
    </rPh>
    <rPh sb="2" eb="4">
      <t>ケイサン</t>
    </rPh>
    <rPh sb="8" eb="10">
      <t>ダンネツ</t>
    </rPh>
    <rPh sb="10" eb="12">
      <t>セコウ</t>
    </rPh>
    <rPh sb="12" eb="13">
      <t>ジ</t>
    </rPh>
    <rPh sb="14" eb="16">
      <t>シア</t>
    </rPh>
    <rPh sb="17" eb="18">
      <t>ザイ</t>
    </rPh>
    <rPh sb="22" eb="24">
      <t>ショウリャク</t>
    </rPh>
    <phoneticPr fontId="2"/>
  </si>
  <si>
    <t>材質名と熱伝導率は、「国立研究開発法人建築研究所 モデル建物法入力支援ツール解説」 P55～P56による。</t>
    <rPh sb="11" eb="13">
      <t>コクリツ</t>
    </rPh>
    <rPh sb="13" eb="15">
      <t>ケンキュウ</t>
    </rPh>
    <rPh sb="15" eb="17">
      <t>カイハツ</t>
    </rPh>
    <rPh sb="17" eb="19">
      <t>ホウジン</t>
    </rPh>
    <rPh sb="19" eb="21">
      <t>ケンチク</t>
    </rPh>
    <rPh sb="21" eb="24">
      <t>ケンキュウショ</t>
    </rPh>
    <rPh sb="31" eb="33">
      <t>ニュウリョク</t>
    </rPh>
    <rPh sb="33" eb="35">
      <t>シエン</t>
    </rPh>
    <rPh sb="38" eb="40">
      <t>カイセツ</t>
    </rPh>
    <phoneticPr fontId="2"/>
  </si>
  <si>
    <t>遮熱塗装の場合、塗装膜厚の断熱性能の向上分は、配慮しないものとする。</t>
    <rPh sb="0" eb="2">
      <t>シャネツ</t>
    </rPh>
    <rPh sb="2" eb="4">
      <t>トソウ</t>
    </rPh>
    <rPh sb="5" eb="7">
      <t>バアイ</t>
    </rPh>
    <rPh sb="8" eb="10">
      <t>トソウ</t>
    </rPh>
    <rPh sb="10" eb="12">
      <t>マクアツ</t>
    </rPh>
    <rPh sb="13" eb="15">
      <t>ダンネツ</t>
    </rPh>
    <rPh sb="15" eb="17">
      <t>セイノウ</t>
    </rPh>
    <rPh sb="18" eb="20">
      <t>コウジョウ</t>
    </rPh>
    <rPh sb="20" eb="21">
      <t>ブン</t>
    </rPh>
    <rPh sb="23" eb="25">
      <t>ハイリョ</t>
    </rPh>
    <phoneticPr fontId="2"/>
  </si>
  <si>
    <t>窓の遮熱シートの場合、遮熱シートの断熱性能の向上分は、配慮しないものとする。</t>
    <rPh sb="0" eb="1">
      <t>マド</t>
    </rPh>
    <rPh sb="2" eb="4">
      <t>シャネツ</t>
    </rPh>
    <rPh sb="8" eb="10">
      <t>バアイ</t>
    </rPh>
    <rPh sb="11" eb="13">
      <t>シャネツ</t>
    </rPh>
    <rPh sb="17" eb="19">
      <t>ダンネツ</t>
    </rPh>
    <rPh sb="19" eb="21">
      <t>セイノウ</t>
    </rPh>
    <rPh sb="22" eb="24">
      <t>コウジョウ</t>
    </rPh>
    <rPh sb="24" eb="25">
      <t>ブン</t>
    </rPh>
    <rPh sb="27" eb="29">
      <t>ハイリョ</t>
    </rPh>
    <phoneticPr fontId="2"/>
  </si>
  <si>
    <t>【算定式】</t>
    <rPh sb="1" eb="3">
      <t>サンテイ</t>
    </rPh>
    <rPh sb="3" eb="4">
      <t>シキ</t>
    </rPh>
    <phoneticPr fontId="2"/>
  </si>
  <si>
    <t>K2＝１／（K1＋（ｄｓ/λｓ））・・・・・・・（１．４）</t>
    <phoneticPr fontId="2"/>
  </si>
  <si>
    <t>K2：</t>
    <phoneticPr fontId="2"/>
  </si>
  <si>
    <t>断熱対策後の熱貫流率(W/㎡K)</t>
    <rPh sb="0" eb="2">
      <t>ダンネツ</t>
    </rPh>
    <rPh sb="2" eb="4">
      <t>タイサク</t>
    </rPh>
    <rPh sb="4" eb="5">
      <t>ゴ</t>
    </rPh>
    <rPh sb="6" eb="7">
      <t>ネツ</t>
    </rPh>
    <rPh sb="7" eb="9">
      <t>カンリュウ</t>
    </rPh>
    <rPh sb="9" eb="10">
      <t>リツ</t>
    </rPh>
    <phoneticPr fontId="2"/>
  </si>
  <si>
    <t>K1：</t>
    <phoneticPr fontId="2"/>
  </si>
  <si>
    <t>既存の構造体の熱貫流率(W/㎡K)</t>
    <phoneticPr fontId="2"/>
  </si>
  <si>
    <t>ｄｓ：</t>
    <phoneticPr fontId="2"/>
  </si>
  <si>
    <t>対策する断熱材の暑さ(mm)</t>
    <phoneticPr fontId="2"/>
  </si>
  <si>
    <t>λｓ：</t>
    <phoneticPr fontId="2"/>
  </si>
  <si>
    <t>対策後の断熱材の熱伝導率(W/mK)</t>
    <phoneticPr fontId="2"/>
  </si>
  <si>
    <t>【屋根】</t>
    <rPh sb="1" eb="3">
      <t>ヤネ</t>
    </rPh>
    <phoneticPr fontId="2"/>
  </si>
  <si>
    <t>既存の屋根の熱貫流率
3.91W/㎡K（デフォルト値）</t>
    <rPh sb="0" eb="2">
      <t>キゾン</t>
    </rPh>
    <rPh sb="3" eb="5">
      <t>ヤネ</t>
    </rPh>
    <rPh sb="6" eb="7">
      <t>ネツ</t>
    </rPh>
    <rPh sb="7" eb="9">
      <t>カンリュウ</t>
    </rPh>
    <rPh sb="9" eb="10">
      <t>リツ</t>
    </rPh>
    <rPh sb="25" eb="26">
      <t>アタイ</t>
    </rPh>
    <phoneticPr fontId="2"/>
  </si>
  <si>
    <t>断熱材：厚さds、熱伝導率λｓ</t>
    <rPh sb="0" eb="2">
      <t>ダンネツ</t>
    </rPh>
    <rPh sb="2" eb="3">
      <t>ザイ</t>
    </rPh>
    <rPh sb="4" eb="5">
      <t>アツ</t>
    </rPh>
    <rPh sb="9" eb="10">
      <t>ネツ</t>
    </rPh>
    <rPh sb="10" eb="13">
      <t>デンドウリツ</t>
    </rPh>
    <phoneticPr fontId="2"/>
  </si>
  <si>
    <t>断熱材の下面に、仕上げ材、内装材を施工する場合は、これらの断熱性能は、評価しないものとする。</t>
    <rPh sb="0" eb="2">
      <t>ダンネツ</t>
    </rPh>
    <rPh sb="2" eb="3">
      <t>ザイ</t>
    </rPh>
    <rPh sb="4" eb="5">
      <t>シタ</t>
    </rPh>
    <rPh sb="5" eb="6">
      <t>メン</t>
    </rPh>
    <rPh sb="8" eb="10">
      <t>シア</t>
    </rPh>
    <rPh sb="11" eb="12">
      <t>ザイ</t>
    </rPh>
    <rPh sb="13" eb="15">
      <t>ナイソウ</t>
    </rPh>
    <rPh sb="15" eb="16">
      <t>ザイ</t>
    </rPh>
    <rPh sb="17" eb="19">
      <t>セコウ</t>
    </rPh>
    <rPh sb="21" eb="23">
      <t>バアイ</t>
    </rPh>
    <phoneticPr fontId="2"/>
  </si>
  <si>
    <t>暑さ対策（断熱）で使用する主たる断熱材とその仕様から、施工厚さ、材料の熱伝導率を求める。</t>
    <rPh sb="0" eb="1">
      <t>アツ</t>
    </rPh>
    <rPh sb="2" eb="4">
      <t>タイサク</t>
    </rPh>
    <rPh sb="5" eb="7">
      <t>ダンネツ</t>
    </rPh>
    <rPh sb="9" eb="11">
      <t>シヨウ</t>
    </rPh>
    <rPh sb="13" eb="14">
      <t>シュ</t>
    </rPh>
    <rPh sb="16" eb="18">
      <t>ダンネツ</t>
    </rPh>
    <rPh sb="18" eb="19">
      <t>ザイ</t>
    </rPh>
    <rPh sb="22" eb="24">
      <t>シヨウ</t>
    </rPh>
    <rPh sb="27" eb="29">
      <t>セコウ</t>
    </rPh>
    <rPh sb="29" eb="30">
      <t>アツ</t>
    </rPh>
    <rPh sb="32" eb="34">
      <t>ザイリョウ</t>
    </rPh>
    <rPh sb="35" eb="39">
      <t>ネツデンドウリツ</t>
    </rPh>
    <rPh sb="40" eb="41">
      <t>モト</t>
    </rPh>
    <phoneticPr fontId="2"/>
  </si>
  <si>
    <t>断熱材の材質名</t>
    <rPh sb="0" eb="2">
      <t>ダンネツ</t>
    </rPh>
    <rPh sb="2" eb="3">
      <t>ザイ</t>
    </rPh>
    <rPh sb="4" eb="6">
      <t>ザイシツ</t>
    </rPh>
    <rPh sb="6" eb="7">
      <t>メイ</t>
    </rPh>
    <phoneticPr fontId="2"/>
  </si>
  <si>
    <t>断熱材の厚み：ｄｓ</t>
    <rPh sb="0" eb="2">
      <t>ダンネツ</t>
    </rPh>
    <rPh sb="2" eb="3">
      <t>ザイ</t>
    </rPh>
    <rPh sb="4" eb="5">
      <t>アツ</t>
    </rPh>
    <phoneticPr fontId="2"/>
  </si>
  <si>
    <t>断熱材の熱伝導率：λｓ</t>
    <rPh sb="0" eb="2">
      <t>ダンネツ</t>
    </rPh>
    <rPh sb="2" eb="3">
      <t>ザイ</t>
    </rPh>
    <rPh sb="4" eb="5">
      <t>ネツ</t>
    </rPh>
    <rPh sb="5" eb="8">
      <t>デンドウリツ</t>
    </rPh>
    <phoneticPr fontId="2"/>
  </si>
  <si>
    <t>（JIS)</t>
    <phoneticPr fontId="2"/>
  </si>
  <si>
    <t>対策後の屋根の熱貫流率＝1/（</t>
    <rPh sb="0" eb="2">
      <t>タイサク</t>
    </rPh>
    <rPh sb="2" eb="3">
      <t>ゴ</t>
    </rPh>
    <rPh sb="4" eb="6">
      <t>ヤネ</t>
    </rPh>
    <rPh sb="7" eb="8">
      <t>ネツ</t>
    </rPh>
    <rPh sb="8" eb="10">
      <t>カンリュウ</t>
    </rPh>
    <rPh sb="10" eb="11">
      <t>リツ</t>
    </rPh>
    <phoneticPr fontId="2"/>
  </si>
  <si>
    <t>＋</t>
    <phoneticPr fontId="2"/>
  </si>
  <si>
    <t>÷</t>
    <phoneticPr fontId="2"/>
  </si>
  <si>
    <t>）＝</t>
    <phoneticPr fontId="2"/>
  </si>
  <si>
    <t>対策後の屋根の熱貫流率</t>
    <rPh sb="0" eb="2">
      <t>タイサク</t>
    </rPh>
    <rPh sb="2" eb="3">
      <t>ゴ</t>
    </rPh>
    <rPh sb="4" eb="6">
      <t>ヤネ</t>
    </rPh>
    <rPh sb="7" eb="8">
      <t>ネツ</t>
    </rPh>
    <rPh sb="8" eb="10">
      <t>カンリュウ</t>
    </rPh>
    <rPh sb="10" eb="11">
      <t>リツ</t>
    </rPh>
    <phoneticPr fontId="2"/>
  </si>
  <si>
    <t>W/m㎡K</t>
    <phoneticPr fontId="2"/>
  </si>
  <si>
    <t>【外壁】</t>
    <rPh sb="1" eb="2">
      <t>ソト</t>
    </rPh>
    <rPh sb="2" eb="3">
      <t>カベ</t>
    </rPh>
    <phoneticPr fontId="2"/>
  </si>
  <si>
    <t>外断熱、内断熱共通とする。</t>
    <rPh sb="0" eb="1">
      <t>ソト</t>
    </rPh>
    <rPh sb="1" eb="3">
      <t>ダンネツ</t>
    </rPh>
    <rPh sb="4" eb="5">
      <t>ウチ</t>
    </rPh>
    <rPh sb="5" eb="7">
      <t>ダンネツ</t>
    </rPh>
    <rPh sb="7" eb="9">
      <t>キョウツウ</t>
    </rPh>
    <phoneticPr fontId="2"/>
  </si>
  <si>
    <t>既存の壁の熱貫流率
1.18W/㎡K
（デフォルト値）</t>
    <rPh sb="0" eb="2">
      <t>キゾン</t>
    </rPh>
    <rPh sb="3" eb="4">
      <t>カベ</t>
    </rPh>
    <rPh sb="5" eb="6">
      <t>ネツ</t>
    </rPh>
    <rPh sb="6" eb="8">
      <t>カンリュウ</t>
    </rPh>
    <rPh sb="8" eb="9">
      <t>リツ</t>
    </rPh>
    <rPh sb="25" eb="26">
      <t>アタイ</t>
    </rPh>
    <phoneticPr fontId="2"/>
  </si>
  <si>
    <t>断熱材
厚さds
熱伝導率λｓ</t>
    <rPh sb="0" eb="3">
      <t>ダンネツザイ</t>
    </rPh>
    <phoneticPr fontId="2"/>
  </si>
  <si>
    <t>断熱材の外面に、仕上げ材、外装材・内装材を施工する場合は、これらの断熱性能は、評価しないものとする。</t>
    <rPh sb="0" eb="2">
      <t>ダンネツ</t>
    </rPh>
    <rPh sb="2" eb="3">
      <t>ザイ</t>
    </rPh>
    <rPh sb="4" eb="5">
      <t>ソト</t>
    </rPh>
    <rPh sb="5" eb="6">
      <t>メン</t>
    </rPh>
    <rPh sb="8" eb="10">
      <t>シア</t>
    </rPh>
    <rPh sb="11" eb="12">
      <t>ザイ</t>
    </rPh>
    <rPh sb="13" eb="16">
      <t>ガイソウザイ</t>
    </rPh>
    <rPh sb="17" eb="19">
      <t>ナイソウ</t>
    </rPh>
    <rPh sb="19" eb="20">
      <t>ザイ</t>
    </rPh>
    <rPh sb="21" eb="23">
      <t>セコウ</t>
    </rPh>
    <phoneticPr fontId="2"/>
  </si>
  <si>
    <t>ただし、断熱材に内装材、外装材が一体のものは、一体と評価してよいものとする。</t>
    <rPh sb="4" eb="6">
      <t>ダンネツ</t>
    </rPh>
    <rPh sb="6" eb="7">
      <t>ザイ</t>
    </rPh>
    <rPh sb="8" eb="10">
      <t>ナイソウ</t>
    </rPh>
    <rPh sb="10" eb="11">
      <t>ザイ</t>
    </rPh>
    <rPh sb="12" eb="15">
      <t>ガイソウザイ</t>
    </rPh>
    <rPh sb="16" eb="18">
      <t>イッタイ</t>
    </rPh>
    <rPh sb="23" eb="25">
      <t>イッタイ</t>
    </rPh>
    <phoneticPr fontId="2"/>
  </si>
  <si>
    <t>グラスウール断熱材１０K</t>
  </si>
  <si>
    <t>対策後の外壁の熱貫流率＝1/（</t>
    <rPh sb="0" eb="2">
      <t>タイサク</t>
    </rPh>
    <rPh sb="2" eb="3">
      <t>ゴ</t>
    </rPh>
    <rPh sb="4" eb="5">
      <t>ソト</t>
    </rPh>
    <rPh sb="5" eb="6">
      <t>カベ</t>
    </rPh>
    <rPh sb="7" eb="8">
      <t>ネツ</t>
    </rPh>
    <rPh sb="8" eb="10">
      <t>カンリュウ</t>
    </rPh>
    <rPh sb="10" eb="11">
      <t>リツ</t>
    </rPh>
    <phoneticPr fontId="2"/>
  </si>
  <si>
    <t>対策後の外壁の熱貫流率</t>
    <rPh sb="0" eb="2">
      <t>タイサク</t>
    </rPh>
    <rPh sb="2" eb="3">
      <t>ゴ</t>
    </rPh>
    <rPh sb="4" eb="6">
      <t>ガイヘキ</t>
    </rPh>
    <rPh sb="7" eb="8">
      <t>ネツ</t>
    </rPh>
    <rPh sb="8" eb="10">
      <t>カンリュウ</t>
    </rPh>
    <rPh sb="10" eb="11">
      <t>リツ</t>
    </rPh>
    <phoneticPr fontId="2"/>
  </si>
  <si>
    <r>
      <rPr>
        <sz val="16"/>
        <color theme="1"/>
        <rFont val="Segoe UI Symbol"/>
        <family val="2"/>
      </rPr>
      <t>●</t>
    </r>
    <r>
      <rPr>
        <sz val="16"/>
        <color theme="1"/>
        <rFont val="ＭＳ ゴシック"/>
        <family val="2"/>
        <charset val="128"/>
      </rPr>
      <t>屋根遮熱</t>
    </r>
    <rPh sb="1" eb="3">
      <t>ヤネ</t>
    </rPh>
    <rPh sb="3" eb="5">
      <t>シャネツ</t>
    </rPh>
    <phoneticPr fontId="2"/>
  </si>
  <si>
    <r>
      <rPr>
        <sz val="16"/>
        <color theme="1"/>
        <rFont val="Segoe UI Symbol"/>
        <family val="2"/>
      </rPr>
      <t>●</t>
    </r>
    <r>
      <rPr>
        <sz val="16"/>
        <color theme="1"/>
        <rFont val="ＭＳ ゴシック"/>
        <family val="2"/>
        <charset val="128"/>
      </rPr>
      <t>屋根断熱</t>
    </r>
    <rPh sb="1" eb="3">
      <t>ヤネ</t>
    </rPh>
    <rPh sb="3" eb="5">
      <t>ダンネツ</t>
    </rPh>
    <phoneticPr fontId="2"/>
  </si>
  <si>
    <r>
      <t>●</t>
    </r>
    <r>
      <rPr>
        <sz val="11"/>
        <color theme="1"/>
        <rFont val="ＭＳ ゴシック"/>
        <family val="2"/>
        <charset val="128"/>
      </rPr>
      <t>屋根遮熱</t>
    </r>
    <rPh sb="3" eb="5">
      <t>シャネツ</t>
    </rPh>
    <phoneticPr fontId="2"/>
  </si>
  <si>
    <r>
      <rPr>
        <sz val="11"/>
        <color theme="1"/>
        <rFont val="Segoe UI Symbol"/>
        <family val="2"/>
      </rPr>
      <t>●</t>
    </r>
    <r>
      <rPr>
        <sz val="11"/>
        <color theme="1"/>
        <rFont val="ＭＳ ゴシック"/>
        <family val="2"/>
        <charset val="128"/>
      </rPr>
      <t>屋根断熱</t>
    </r>
    <rPh sb="3" eb="5">
      <t>ダンネツ</t>
    </rPh>
    <phoneticPr fontId="2"/>
  </si>
  <si>
    <r>
      <t>●</t>
    </r>
    <r>
      <rPr>
        <sz val="11"/>
        <color theme="1"/>
        <rFont val="ＭＳ ゴシック"/>
        <family val="2"/>
        <charset val="128"/>
      </rPr>
      <t>外壁遮熱</t>
    </r>
    <rPh sb="1" eb="3">
      <t>ガイヘキ</t>
    </rPh>
    <rPh sb="3" eb="5">
      <t>シャネツ</t>
    </rPh>
    <phoneticPr fontId="2"/>
  </si>
  <si>
    <r>
      <rPr>
        <sz val="11"/>
        <color theme="1"/>
        <rFont val="Segoe UI Symbol"/>
        <family val="2"/>
      </rPr>
      <t>●</t>
    </r>
    <r>
      <rPr>
        <sz val="11"/>
        <color theme="1"/>
        <rFont val="ＭＳ ゴシック"/>
        <family val="2"/>
        <charset val="128"/>
      </rPr>
      <t>外壁断熱</t>
    </r>
    <rPh sb="1" eb="3">
      <t>ガイヘキ</t>
    </rPh>
    <rPh sb="3" eb="5">
      <t>ダンネツ</t>
    </rPh>
    <phoneticPr fontId="2"/>
  </si>
  <si>
    <t>屋根遮熱</t>
    <rPh sb="0" eb="2">
      <t>ヤネ</t>
    </rPh>
    <rPh sb="2" eb="4">
      <t>シャネツ</t>
    </rPh>
    <phoneticPr fontId="2"/>
  </si>
  <si>
    <t>屋根断熱</t>
    <rPh sb="0" eb="2">
      <t>ヤネ</t>
    </rPh>
    <rPh sb="2" eb="4">
      <t>ダンネツ</t>
    </rPh>
    <phoneticPr fontId="2"/>
  </si>
  <si>
    <t>外壁遮熱</t>
    <rPh sb="0" eb="2">
      <t>ガイヘキ</t>
    </rPh>
    <rPh sb="2" eb="4">
      <t>シャネツ</t>
    </rPh>
    <phoneticPr fontId="2"/>
  </si>
  <si>
    <t>外壁断熱</t>
    <rPh sb="0" eb="2">
      <t>ガイヘキ</t>
    </rPh>
    <rPh sb="2" eb="4">
      <t>ダンネツ</t>
    </rPh>
    <phoneticPr fontId="2"/>
  </si>
  <si>
    <t>窓断熱</t>
    <rPh sb="0" eb="1">
      <t>マド</t>
    </rPh>
    <rPh sb="1" eb="3">
      <t>ダンネツ</t>
    </rPh>
    <phoneticPr fontId="2"/>
  </si>
  <si>
    <t>窓遮熱</t>
    <rPh sb="0" eb="1">
      <t>マド</t>
    </rPh>
    <rPh sb="1" eb="3">
      <t>シャネツ</t>
    </rPh>
    <phoneticPr fontId="2"/>
  </si>
  <si>
    <t>P44</t>
    <phoneticPr fontId="2"/>
  </si>
  <si>
    <t>P42</t>
    <phoneticPr fontId="2"/>
  </si>
  <si>
    <t>P43</t>
    <phoneticPr fontId="2"/>
  </si>
  <si>
    <t>P41</t>
    <phoneticPr fontId="2"/>
  </si>
  <si>
    <t>P45</t>
    <phoneticPr fontId="2"/>
  </si>
  <si>
    <t>P46</t>
    <phoneticPr fontId="2"/>
  </si>
  <si>
    <t>D=C(max)</t>
    <phoneticPr fontId="2"/>
  </si>
  <si>
    <t>Amax</t>
    <phoneticPr fontId="2"/>
  </si>
  <si>
    <t>Amax×E</t>
    <phoneticPr fontId="2"/>
  </si>
  <si>
    <t>Ａｍａｘ×Ｅ</t>
    <phoneticPr fontId="2"/>
  </si>
  <si>
    <t>E
方位別日射時間
(h/日）</t>
    <rPh sb="2" eb="5">
      <t>ホウイベツ</t>
    </rPh>
    <rPh sb="5" eb="7">
      <t>ニッシャ</t>
    </rPh>
    <phoneticPr fontId="2"/>
  </si>
  <si>
    <t>②
＝ΣF×E
方位別
日暖房
負荷
削減量
（W・h/日）</t>
    <rPh sb="8" eb="11">
      <t>ホウイベツ</t>
    </rPh>
    <rPh sb="12" eb="13">
      <t>ニチ</t>
    </rPh>
    <rPh sb="13" eb="15">
      <t>ダンボウ</t>
    </rPh>
    <rPh sb="16" eb="18">
      <t>フカ</t>
    </rPh>
    <rPh sb="19" eb="21">
      <t>サクゲン</t>
    </rPh>
    <rPh sb="21" eb="22">
      <t>リョウ</t>
    </rPh>
    <rPh sb="28" eb="29">
      <t>ヒ</t>
    </rPh>
    <phoneticPr fontId="2"/>
  </si>
  <si>
    <t>一日当りの冷房負荷量</t>
    <phoneticPr fontId="2"/>
  </si>
  <si>
    <t>一日当りの暖房負荷量</t>
    <rPh sb="5" eb="7">
      <t>ダンボウ</t>
    </rPh>
    <phoneticPr fontId="2"/>
  </si>
  <si>
    <r>
      <rPr>
        <sz val="11"/>
        <rFont val="ＭＳ ゴシック"/>
        <family val="2"/>
        <charset val="128"/>
      </rPr>
      <t>導入前</t>
    </r>
    <r>
      <rPr>
        <sz val="11"/>
        <rFont val="Arial"/>
        <family val="2"/>
      </rPr>
      <t>CO2</t>
    </r>
    <r>
      <rPr>
        <sz val="11"/>
        <rFont val="ＭＳ ゴシック"/>
        <family val="2"/>
        <charset val="128"/>
      </rPr>
      <t>量</t>
    </r>
    <rPh sb="0" eb="3">
      <t>ドウニュウマエ</t>
    </rPh>
    <rPh sb="6" eb="7">
      <t>リョウ</t>
    </rPh>
    <phoneticPr fontId="2"/>
  </si>
  <si>
    <r>
      <rPr>
        <sz val="11"/>
        <rFont val="ＭＳ ゴシック"/>
        <family val="2"/>
        <charset val="128"/>
      </rPr>
      <t>導入後</t>
    </r>
    <r>
      <rPr>
        <sz val="11"/>
        <rFont val="Arial"/>
        <family val="2"/>
      </rPr>
      <t>CO2</t>
    </r>
    <r>
      <rPr>
        <sz val="11"/>
        <rFont val="ＭＳ ゴシック"/>
        <family val="2"/>
        <charset val="128"/>
      </rPr>
      <t>量</t>
    </r>
    <rPh sb="0" eb="3">
      <t>ドウニュウゴ</t>
    </rPh>
    <rPh sb="6" eb="7">
      <t>リョウ</t>
    </rPh>
    <phoneticPr fontId="2"/>
  </si>
  <si>
    <t>北</t>
  </si>
  <si>
    <t>北東</t>
  </si>
  <si>
    <t>東</t>
  </si>
  <si>
    <t>南東</t>
  </si>
  <si>
    <t>南</t>
  </si>
  <si>
    <t>南西</t>
  </si>
  <si>
    <t>西</t>
  </si>
  <si>
    <t>北西</t>
  </si>
  <si>
    <t>←断熱と遮熱は同時に選べません！</t>
    <rPh sb="1" eb="3">
      <t>ダンネツ</t>
    </rPh>
    <rPh sb="4" eb="6">
      <t>シャネツ</t>
    </rPh>
    <rPh sb="7" eb="9">
      <t>ドウジ</t>
    </rPh>
    <rPh sb="10" eb="11">
      <t>エラ</t>
    </rPh>
    <phoneticPr fontId="2"/>
  </si>
  <si>
    <t>１．対策部位の注意点</t>
    <rPh sb="2" eb="4">
      <t>タイサク</t>
    </rPh>
    <rPh sb="4" eb="6">
      <t>ブイ</t>
    </rPh>
    <rPh sb="7" eb="10">
      <t>チュウイテン</t>
    </rPh>
    <phoneticPr fontId="2"/>
  </si>
  <si>
    <t>２．屋根対策入力での注意点</t>
    <rPh sb="2" eb="4">
      <t>ヤネ</t>
    </rPh>
    <rPh sb="4" eb="6">
      <t>タイサク</t>
    </rPh>
    <rPh sb="6" eb="8">
      <t>ニュウリョク</t>
    </rPh>
    <rPh sb="10" eb="12">
      <t>チュウイ</t>
    </rPh>
    <rPh sb="12" eb="13">
      <t>テン</t>
    </rPh>
    <phoneticPr fontId="2"/>
  </si>
  <si>
    <t>３．外壁対策入力での注意点</t>
    <rPh sb="2" eb="4">
      <t>ガイヘキ</t>
    </rPh>
    <rPh sb="4" eb="6">
      <t>タイサク</t>
    </rPh>
    <rPh sb="6" eb="8">
      <t>ニュウリョク</t>
    </rPh>
    <rPh sb="10" eb="13">
      <t>チュウイテン</t>
    </rPh>
    <phoneticPr fontId="2"/>
  </si>
  <si>
    <t>１．屋根対策</t>
    <rPh sb="2" eb="4">
      <t>ヤネ</t>
    </rPh>
    <rPh sb="4" eb="6">
      <t>タイサク</t>
    </rPh>
    <phoneticPr fontId="2"/>
  </si>
  <si>
    <t>２．外壁対策</t>
    <rPh sb="2" eb="4">
      <t>ガイヘキ</t>
    </rPh>
    <rPh sb="4" eb="6">
      <t>タイサク</t>
    </rPh>
    <phoneticPr fontId="2"/>
  </si>
  <si>
    <t>３．窓対策</t>
    <rPh sb="2" eb="3">
      <t>マド</t>
    </rPh>
    <rPh sb="3" eb="5">
      <t>タイサク</t>
    </rPh>
    <phoneticPr fontId="2"/>
  </si>
  <si>
    <t>こちらの数値を
[入力]シートに入力してください。</t>
    <rPh sb="4" eb="6">
      <t>スウチ</t>
    </rPh>
    <rPh sb="16" eb="18">
      <t>ニュウリョク</t>
    </rPh>
    <phoneticPr fontId="2"/>
  </si>
  <si>
    <r>
      <t>①</t>
    </r>
    <r>
      <rPr>
        <b/>
        <sz val="10"/>
        <color rgb="FFFF0000"/>
        <rFont val="ＭＳ Ｐゴシック"/>
        <family val="3"/>
        <charset val="128"/>
      </rPr>
      <t>屋根</t>
    </r>
    <r>
      <rPr>
        <b/>
        <sz val="10"/>
        <color theme="1"/>
        <rFont val="ＭＳ Ｐゴシック"/>
        <family val="3"/>
        <charset val="128"/>
      </rPr>
      <t>の断熱材の熱貫流率の算定</t>
    </r>
    <rPh sb="1" eb="3">
      <t>ヤネ</t>
    </rPh>
    <rPh sb="4" eb="7">
      <t>ダンネツザイ</t>
    </rPh>
    <rPh sb="8" eb="12">
      <t>ネツカンリュウリツ</t>
    </rPh>
    <rPh sb="13" eb="15">
      <t>サンテイ</t>
    </rPh>
    <phoneticPr fontId="2"/>
  </si>
  <si>
    <r>
      <t>②</t>
    </r>
    <r>
      <rPr>
        <b/>
        <sz val="10"/>
        <color rgb="FFFF0000"/>
        <rFont val="ＭＳ Ｐゴシック"/>
        <family val="3"/>
        <charset val="128"/>
      </rPr>
      <t>外壁</t>
    </r>
    <r>
      <rPr>
        <b/>
        <sz val="10"/>
        <color theme="1"/>
        <rFont val="ＭＳ Ｐゴシック"/>
        <family val="3"/>
        <charset val="128"/>
      </rPr>
      <t>の断熱材の熱貫流率の算定</t>
    </r>
    <rPh sb="1" eb="3">
      <t>ガイヘキ</t>
    </rPh>
    <rPh sb="4" eb="7">
      <t>ダンネツザイ</t>
    </rPh>
    <rPh sb="8" eb="12">
      <t>ネツカンリュウリツ</t>
    </rPh>
    <rPh sb="13" eb="15">
      <t>サンテイ</t>
    </rPh>
    <phoneticPr fontId="2"/>
  </si>
  <si>
    <t>※以下の[屋根・外壁・窓]のチェックについて、各列の遮熱と断熱の両方を選択できません。</t>
    <rPh sb="1" eb="3">
      <t>イカ</t>
    </rPh>
    <rPh sb="5" eb="7">
      <t>ヤネ</t>
    </rPh>
    <rPh sb="8" eb="10">
      <t>ガイヘキ</t>
    </rPh>
    <rPh sb="11" eb="12">
      <t>マド</t>
    </rPh>
    <rPh sb="23" eb="25">
      <t>カクレツ</t>
    </rPh>
    <rPh sb="26" eb="28">
      <t>シャネツ</t>
    </rPh>
    <rPh sb="29" eb="31">
      <t>ダンネツ</t>
    </rPh>
    <rPh sb="32" eb="34">
      <t>リョウホウ</t>
    </rPh>
    <rPh sb="35" eb="37">
      <t>センタク</t>
    </rPh>
    <phoneticPr fontId="2"/>
  </si>
  <si>
    <t>１．１断熱</t>
    <phoneticPr fontId="2"/>
  </si>
  <si>
    <t>・屋根や外壁に遮熱塗装をする場合は、各部位の☑ボックスの「遮熱」を選択すること。</t>
    <rPh sb="1" eb="3">
      <t>ヤネ</t>
    </rPh>
    <rPh sb="4" eb="6">
      <t>ガイヘキ</t>
    </rPh>
    <rPh sb="7" eb="9">
      <t>シャネツ</t>
    </rPh>
    <rPh sb="9" eb="11">
      <t>トソウ</t>
    </rPh>
    <rPh sb="14" eb="16">
      <t>バアイ</t>
    </rPh>
    <rPh sb="18" eb="21">
      <t>カクブイ</t>
    </rPh>
    <rPh sb="29" eb="31">
      <t>シャネツ</t>
    </rPh>
    <rPh sb="33" eb="35">
      <t>センタク</t>
    </rPh>
    <phoneticPr fontId="2"/>
  </si>
  <si>
    <t>入力シートに記入する際の注意点</t>
    <rPh sb="0" eb="2">
      <t>ニュウリョク</t>
    </rPh>
    <rPh sb="6" eb="8">
      <t>キニュウ</t>
    </rPh>
    <rPh sb="10" eb="11">
      <t>サイ</t>
    </rPh>
    <rPh sb="12" eb="15">
      <t>チュウイテン</t>
    </rPh>
    <phoneticPr fontId="2"/>
  </si>
  <si>
    <t>・屋根や外壁に遮熱塗装と断熱材施工を併せて実施する場合は、各部位の☑ボックスの「断熱」を選択すること。</t>
    <rPh sb="1" eb="3">
      <t>ヤネ</t>
    </rPh>
    <rPh sb="4" eb="6">
      <t>ガイヘキ</t>
    </rPh>
    <rPh sb="7" eb="9">
      <t>シャネツ</t>
    </rPh>
    <rPh sb="9" eb="11">
      <t>トソウ</t>
    </rPh>
    <rPh sb="12" eb="15">
      <t>ダンネツザイ</t>
    </rPh>
    <rPh sb="15" eb="17">
      <t>セコウ</t>
    </rPh>
    <rPh sb="18" eb="19">
      <t>アワ</t>
    </rPh>
    <rPh sb="21" eb="23">
      <t>ジッシ</t>
    </rPh>
    <rPh sb="25" eb="27">
      <t>バアイ</t>
    </rPh>
    <rPh sb="40" eb="42">
      <t>ダンネツ</t>
    </rPh>
    <phoneticPr fontId="2"/>
  </si>
  <si>
    <t>・既存窓をLow-Eガラス窓などの高性能窓へ交換する場合は、☑ボックスの「窓断熱」を選択すること。</t>
    <rPh sb="1" eb="4">
      <t>キゾンマド</t>
    </rPh>
    <rPh sb="13" eb="14">
      <t>マド</t>
    </rPh>
    <rPh sb="17" eb="20">
      <t>コウセイノウ</t>
    </rPh>
    <rPh sb="20" eb="21">
      <t>マド</t>
    </rPh>
    <rPh sb="22" eb="24">
      <t>コウカン</t>
    </rPh>
    <rPh sb="26" eb="28">
      <t>バアイ</t>
    </rPh>
    <rPh sb="37" eb="38">
      <t>マド</t>
    </rPh>
    <rPh sb="38" eb="40">
      <t>ダンネツ</t>
    </rPh>
    <rPh sb="42" eb="44">
      <t>センタク</t>
    </rPh>
    <phoneticPr fontId="2"/>
  </si>
  <si>
    <t>・既存窓に遮熱フィルムを貼付ける場合は、☑ボックスの「窓遮熱」を選択すること。</t>
    <rPh sb="1" eb="3">
      <t>キゾン</t>
    </rPh>
    <rPh sb="3" eb="4">
      <t>マド</t>
    </rPh>
    <rPh sb="5" eb="7">
      <t>シャネツ</t>
    </rPh>
    <rPh sb="12" eb="13">
      <t>ハ</t>
    </rPh>
    <rPh sb="13" eb="14">
      <t>ツ</t>
    </rPh>
    <rPh sb="16" eb="18">
      <t>バアイ</t>
    </rPh>
    <rPh sb="27" eb="28">
      <t>マド</t>
    </rPh>
    <rPh sb="28" eb="30">
      <t>シャネツ</t>
    </rPh>
    <rPh sb="32" eb="34">
      <t>センタク</t>
    </rPh>
    <phoneticPr fontId="2"/>
  </si>
  <si>
    <t>　※上記に当てはまらない事業の場合は、担当窓口（a3030-19@pref.saitama.lg.jp）にご連絡ください。</t>
    <rPh sb="2" eb="4">
      <t>ジョウキ</t>
    </rPh>
    <rPh sb="5" eb="6">
      <t>ア</t>
    </rPh>
    <rPh sb="12" eb="14">
      <t>ジギョウ</t>
    </rPh>
    <rPh sb="15" eb="17">
      <t>バアイ</t>
    </rPh>
    <rPh sb="19" eb="23">
      <t>タントウマドグチ</t>
    </rPh>
    <rPh sb="54" eb="56">
      <t>レンラク</t>
    </rPh>
    <phoneticPr fontId="2"/>
  </si>
  <si>
    <r>
      <t>・屋根について、</t>
    </r>
    <r>
      <rPr>
        <sz val="12"/>
        <rFont val="ＭＳ Ｐゴシック"/>
        <family val="3"/>
        <charset val="128"/>
      </rPr>
      <t>対策を行わない場合は、数値を変更しないこと。</t>
    </r>
    <r>
      <rPr>
        <sz val="12"/>
        <rFont val="ＭＳ Ｐゴシック"/>
        <family val="3"/>
        <charset val="128"/>
        <scheme val="minor"/>
      </rPr>
      <t>（※外壁や窓についても同様）</t>
    </r>
    <rPh sb="1" eb="3">
      <t>ヤネ</t>
    </rPh>
    <rPh sb="8" eb="10">
      <t>タイサク</t>
    </rPh>
    <rPh sb="11" eb="12">
      <t>オコナ</t>
    </rPh>
    <rPh sb="15" eb="17">
      <t>バアイ</t>
    </rPh>
    <rPh sb="19" eb="21">
      <t>スウチ</t>
    </rPh>
    <rPh sb="22" eb="24">
      <t>ヘンコウ</t>
    </rPh>
    <rPh sb="32" eb="34">
      <t>ガイヘキ</t>
    </rPh>
    <rPh sb="35" eb="36">
      <t>マド</t>
    </rPh>
    <rPh sb="41" eb="43">
      <t>ドウヨウ</t>
    </rPh>
    <phoneticPr fontId="2"/>
  </si>
  <si>
    <r>
      <t>・外壁について、</t>
    </r>
    <r>
      <rPr>
        <sz val="12"/>
        <rFont val="ＭＳ Ｐゴシック"/>
        <family val="3"/>
        <charset val="128"/>
      </rPr>
      <t>対策を行わない方位の数値はデフォルトから変更せず、対策を行う方位のみ数値を変更すること。</t>
    </r>
    <rPh sb="1" eb="3">
      <t>ガイヘキ</t>
    </rPh>
    <rPh sb="8" eb="10">
      <t>タイサク</t>
    </rPh>
    <rPh sb="11" eb="12">
      <t>オコナ</t>
    </rPh>
    <rPh sb="15" eb="17">
      <t>ホウイ</t>
    </rPh>
    <rPh sb="18" eb="20">
      <t>スウチ</t>
    </rPh>
    <rPh sb="28" eb="30">
      <t>ヘンコウ</t>
    </rPh>
    <rPh sb="33" eb="35">
      <t>タイサク</t>
    </rPh>
    <rPh sb="36" eb="37">
      <t>オコナ</t>
    </rPh>
    <rPh sb="38" eb="40">
      <t>ホウイ</t>
    </rPh>
    <rPh sb="42" eb="44">
      <t>スウチ</t>
    </rPh>
    <rPh sb="45" eb="47">
      <t>ヘンコウ</t>
    </rPh>
    <phoneticPr fontId="2"/>
  </si>
  <si>
    <t>・採用する遮熱塗料のカタログに記載の日射熱反射率（適合基準を満たすもの）が示されている場合についても、
　別シートの「入力値簡易計算シート」にて入力する日射熱吸収率を求めることができます。
　そちらのシートで算出した日射熱吸収率を表－６の対象となる方位の欄に入力してください。</t>
    <phoneticPr fontId="2"/>
  </si>
  <si>
    <r>
      <t>③屋根または</t>
    </r>
    <r>
      <rPr>
        <b/>
        <sz val="10"/>
        <color rgb="FFFF0000"/>
        <rFont val="ＭＳ Ｐゴシック"/>
        <family val="3"/>
        <charset val="128"/>
      </rPr>
      <t>外壁</t>
    </r>
    <r>
      <rPr>
        <b/>
        <sz val="10"/>
        <color theme="1"/>
        <rFont val="ＭＳ Ｐゴシック"/>
        <family val="3"/>
        <charset val="128"/>
      </rPr>
      <t>の日射熱吸収率の算定</t>
    </r>
    <rPh sb="1" eb="3">
      <t>ヤネ</t>
    </rPh>
    <rPh sb="6" eb="8">
      <t>ガイヘキ</t>
    </rPh>
    <rPh sb="9" eb="15">
      <t>ニッシャネツキュウシュウリツ</t>
    </rPh>
    <rPh sb="16" eb="18">
      <t>サンテイ</t>
    </rPh>
    <phoneticPr fontId="2"/>
  </si>
  <si>
    <r>
      <t>屋根や外壁への断熱材</t>
    </r>
    <r>
      <rPr>
        <vertAlign val="superscript"/>
        <sz val="10"/>
        <color theme="1"/>
        <rFont val="ＭＳ Ｐゴシック"/>
        <family val="3"/>
        <charset val="128"/>
      </rPr>
      <t>※</t>
    </r>
    <r>
      <rPr>
        <sz val="10"/>
        <color theme="1"/>
        <rFont val="ＭＳ Ｐゴシック"/>
        <family val="3"/>
        <charset val="128"/>
      </rPr>
      <t>施工または遮熱塗装事業への補助申請をする場合に、
[入力シート]へ記入する</t>
    </r>
    <r>
      <rPr>
        <b/>
        <u/>
        <sz val="10"/>
        <color theme="1"/>
        <rFont val="ＭＳ Ｐゴシック"/>
        <family val="3"/>
        <charset val="128"/>
      </rPr>
      <t>熱貫流率・日射熱吸収率</t>
    </r>
    <r>
      <rPr>
        <sz val="10"/>
        <color theme="1"/>
        <rFont val="ＭＳ Ｐゴシック"/>
        <family val="3"/>
        <charset val="128"/>
      </rPr>
      <t>を簡易計算できるシートとなります。
　※屋根裏、内壁の施工は補助対象外事業</t>
    </r>
    <rPh sb="0" eb="2">
      <t>ヤネ</t>
    </rPh>
    <rPh sb="3" eb="5">
      <t>ガイヘキ</t>
    </rPh>
    <rPh sb="7" eb="10">
      <t>ダンネツザイ</t>
    </rPh>
    <rPh sb="11" eb="13">
      <t>セコウ</t>
    </rPh>
    <rPh sb="16" eb="20">
      <t>シャネツトソウ</t>
    </rPh>
    <rPh sb="20" eb="22">
      <t>ジギョウ</t>
    </rPh>
    <rPh sb="24" eb="26">
      <t>ホジョ</t>
    </rPh>
    <rPh sb="26" eb="28">
      <t>シンセイ</t>
    </rPh>
    <rPh sb="31" eb="33">
      <t>バアイ</t>
    </rPh>
    <rPh sb="37" eb="39">
      <t>ニュウリョク</t>
    </rPh>
    <rPh sb="44" eb="46">
      <t>キニュウ</t>
    </rPh>
    <rPh sb="48" eb="52">
      <t>ネツカンリュウリツ</t>
    </rPh>
    <rPh sb="53" eb="59">
      <t>ニッシャネツキュウシュウリツ</t>
    </rPh>
    <rPh sb="60" eb="62">
      <t>カンイ</t>
    </rPh>
    <rPh sb="62" eb="64">
      <t>ケイサン</t>
    </rPh>
    <rPh sb="79" eb="82">
      <t>ヤネウラ</t>
    </rPh>
    <rPh sb="83" eb="85">
      <t>ナイヘキ</t>
    </rPh>
    <rPh sb="86" eb="88">
      <t>セコウ</t>
    </rPh>
    <rPh sb="89" eb="91">
      <t>ホジョ</t>
    </rPh>
    <rPh sb="91" eb="94">
      <t>タイショウガイ</t>
    </rPh>
    <rPh sb="94" eb="96">
      <t>ジギョウ</t>
    </rPh>
    <phoneticPr fontId="2"/>
  </si>
  <si>
    <t>★以下の数値欄には、製品のカタログに記載された数値を入力してください。</t>
    <rPh sb="1" eb="3">
      <t>イカ</t>
    </rPh>
    <rPh sb="4" eb="7">
      <t>スウチラン</t>
    </rPh>
    <rPh sb="10" eb="12">
      <t>セイヒン</t>
    </rPh>
    <rPh sb="18" eb="20">
      <t>キサイ</t>
    </rPh>
    <rPh sb="23" eb="25">
      <t>スウチ</t>
    </rPh>
    <rPh sb="26" eb="28">
      <t>ニュウリョク</t>
    </rPh>
    <phoneticPr fontId="2"/>
  </si>
  <si>
    <t>断熱材の厚み</t>
    <rPh sb="0" eb="2">
      <t>ダンネツ</t>
    </rPh>
    <rPh sb="2" eb="3">
      <t>ザイ</t>
    </rPh>
    <rPh sb="4" eb="5">
      <t>アツ</t>
    </rPh>
    <phoneticPr fontId="2"/>
  </si>
  <si>
    <t>・採用する断熱材のカタログに適合基準（JIS規格等）を満たす熱貫流率の記載がない場合、
　適合基準を満たす熱伝導率(W/㎡K）と厚さ(mm)より別シートの「入力値簡易計算シート」にて熱貫流率を
　算出し、その値を表－３に入力すること。</t>
    <rPh sb="1" eb="3">
      <t>サイヨウ</t>
    </rPh>
    <rPh sb="5" eb="8">
      <t>ダンネツザイ</t>
    </rPh>
    <rPh sb="14" eb="18">
      <t>テキゴウキジュン</t>
    </rPh>
    <rPh sb="22" eb="24">
      <t>キカク</t>
    </rPh>
    <rPh sb="24" eb="25">
      <t>トウ</t>
    </rPh>
    <rPh sb="27" eb="28">
      <t>ミ</t>
    </rPh>
    <rPh sb="30" eb="34">
      <t>ネツカンリュウリツ</t>
    </rPh>
    <rPh sb="35" eb="37">
      <t>キサイ</t>
    </rPh>
    <rPh sb="40" eb="42">
      <t>バアイ</t>
    </rPh>
    <rPh sb="45" eb="49">
      <t>テキゴウキジュン</t>
    </rPh>
    <rPh sb="50" eb="51">
      <t>ミ</t>
    </rPh>
    <rPh sb="53" eb="54">
      <t>ネツ</t>
    </rPh>
    <rPh sb="54" eb="57">
      <t>デンドウリツ</t>
    </rPh>
    <rPh sb="64" eb="65">
      <t>アツ</t>
    </rPh>
    <rPh sb="72" eb="73">
      <t>ベツ</t>
    </rPh>
    <rPh sb="78" eb="80">
      <t>ニュウリョク</t>
    </rPh>
    <rPh sb="80" eb="81">
      <t>チ</t>
    </rPh>
    <rPh sb="81" eb="82">
      <t>カン</t>
    </rPh>
    <rPh sb="91" eb="95">
      <t>ネツカンリュウリツ</t>
    </rPh>
    <rPh sb="98" eb="100">
      <t>サンシュツ</t>
    </rPh>
    <phoneticPr fontId="2"/>
  </si>
  <si>
    <t>・採用する断熱材のカタログに適合基準（JIS規格等）を満たす熱貫流率の記載がない場合、
　適合基準を満たす熱伝導率(W/㎡K）と厚さ(mm)より別シートの「入力値簡易計算シート」にて熱貫流率を
　算出し、その値を表－５内の施工する方位欄に入力すること。</t>
    <rPh sb="109" eb="110">
      <t>ナイ</t>
    </rPh>
    <rPh sb="111" eb="113">
      <t>セコウ</t>
    </rPh>
    <phoneticPr fontId="2"/>
  </si>
  <si>
    <t>　※採用する遮熱塗料のカタログに記載の日射熱反射率（適合基準を満たすもの）が示されている場合についても、
　  　別シートの「入力値簡易計算シート」にて入力する日射熱吸収率を求めることができます。</t>
    <rPh sb="2" eb="4">
      <t>サイヨウ</t>
    </rPh>
    <rPh sb="6" eb="10">
      <t>シャネツトリョウ</t>
    </rPh>
    <rPh sb="16" eb="18">
      <t>キサイ</t>
    </rPh>
    <rPh sb="19" eb="21">
      <t>ニッシャ</t>
    </rPh>
    <rPh sb="21" eb="22">
      <t>ネツ</t>
    </rPh>
    <rPh sb="22" eb="24">
      <t>ハンシャ</t>
    </rPh>
    <rPh sb="24" eb="25">
      <t>リツ</t>
    </rPh>
    <rPh sb="26" eb="30">
      <t>テキゴウキジュン</t>
    </rPh>
    <rPh sb="31" eb="32">
      <t>ミ</t>
    </rPh>
    <rPh sb="38" eb="39">
      <t>シメ</t>
    </rPh>
    <rPh sb="44" eb="46">
      <t>バアイ</t>
    </rPh>
    <rPh sb="57" eb="58">
      <t>ベツ</t>
    </rPh>
    <rPh sb="63" eb="65">
      <t>ニュウリョク</t>
    </rPh>
    <rPh sb="65" eb="66">
      <t>チ</t>
    </rPh>
    <rPh sb="76" eb="78">
      <t>ニュウリョク</t>
    </rPh>
    <phoneticPr fontId="2"/>
  </si>
  <si>
    <r>
      <t>表－８　暑さ対策による窓の熱貫流率と日射熱</t>
    </r>
    <r>
      <rPr>
        <b/>
        <sz val="11"/>
        <rFont val="ＭＳ Ｐゴシック"/>
        <family val="3"/>
        <charset val="128"/>
      </rPr>
      <t>取得率</t>
    </r>
    <r>
      <rPr>
        <b/>
        <sz val="11"/>
        <color theme="1"/>
        <rFont val="ＭＳ Ｐゴシック"/>
        <family val="3"/>
        <charset val="128"/>
      </rPr>
      <t>の入力表</t>
    </r>
    <rPh sb="0" eb="1">
      <t>ヒョウ</t>
    </rPh>
    <rPh sb="4" eb="5">
      <t>アツ</t>
    </rPh>
    <rPh sb="6" eb="8">
      <t>タイサク</t>
    </rPh>
    <rPh sb="18" eb="20">
      <t>ニッシャ</t>
    </rPh>
    <rPh sb="20" eb="21">
      <t>ネツ</t>
    </rPh>
    <rPh sb="21" eb="23">
      <t>シュトク</t>
    </rPh>
    <rPh sb="23" eb="24">
      <t>リツ</t>
    </rPh>
    <rPh sb="25" eb="27">
      <t>ニュウリョク</t>
    </rPh>
    <phoneticPr fontId="2"/>
  </si>
  <si>
    <t>表－７　暑さ対策による窓の熱貫流率と日射熱取得率の選定表</t>
    <rPh sb="0" eb="1">
      <t>ヒョウ</t>
    </rPh>
    <rPh sb="4" eb="5">
      <t>アツ</t>
    </rPh>
    <rPh sb="6" eb="8">
      <t>タイサク</t>
    </rPh>
    <rPh sb="11" eb="12">
      <t>マド</t>
    </rPh>
    <rPh sb="13" eb="14">
      <t>ネツ</t>
    </rPh>
    <rPh sb="14" eb="16">
      <t>カンリュウ</t>
    </rPh>
    <rPh sb="16" eb="17">
      <t>リツ</t>
    </rPh>
    <rPh sb="18" eb="20">
      <t>ニッシャ</t>
    </rPh>
    <rPh sb="20" eb="21">
      <t>ネツ</t>
    </rPh>
    <rPh sb="21" eb="24">
      <t>シュトクリツ</t>
    </rPh>
    <rPh sb="25" eb="27">
      <t>センテイ</t>
    </rPh>
    <rPh sb="27" eb="28">
      <t>ヒョウ</t>
    </rPh>
    <phoneticPr fontId="2"/>
  </si>
  <si>
    <t>熱貫流率</t>
    <rPh sb="0" eb="4">
      <t>ネツカンリュウリツ</t>
    </rPh>
    <phoneticPr fontId="2"/>
  </si>
  <si>
    <t>Ⅲ．対策後の熱性能（熱貫流率、日射熱吸収率）</t>
    <rPh sb="15" eb="17">
      <t>ニッシャ</t>
    </rPh>
    <rPh sb="17" eb="18">
      <t>ネツ</t>
    </rPh>
    <rPh sb="18" eb="20">
      <t>キュウシュウ</t>
    </rPh>
    <rPh sb="20" eb="21">
      <t>リツ</t>
    </rPh>
    <phoneticPr fontId="2"/>
  </si>
  <si>
    <r>
      <rPr>
        <sz val="8"/>
        <rFont val="ＭＳ Ｐゴシック"/>
        <family val="2"/>
      </rPr>
      <t>日射熱吸収率</t>
    </r>
    <rPh sb="0" eb="2">
      <t>ニッシャ</t>
    </rPh>
    <rPh sb="2" eb="3">
      <t>ネツ</t>
    </rPh>
    <rPh sb="3" eb="5">
      <t>キュウシュウ</t>
    </rPh>
    <rPh sb="5" eb="6">
      <t>リツ</t>
    </rPh>
    <phoneticPr fontId="2"/>
  </si>
  <si>
    <r>
      <t xml:space="preserve">日射熱
</t>
    </r>
    <r>
      <rPr>
        <sz val="9"/>
        <rFont val="ＭＳ Ｐゴシック"/>
        <family val="3"/>
        <charset val="128"/>
      </rPr>
      <t>吸収率</t>
    </r>
    <rPh sb="0" eb="2">
      <t>ニッシャ</t>
    </rPh>
    <rPh sb="2" eb="3">
      <t>ネツ</t>
    </rPh>
    <rPh sb="4" eb="6">
      <t>キュウシュウ</t>
    </rPh>
    <rPh sb="6" eb="7">
      <t>リツ</t>
    </rPh>
    <phoneticPr fontId="2"/>
  </si>
  <si>
    <r>
      <rPr>
        <sz val="11"/>
        <color theme="1"/>
        <rFont val="Segoe UI Symbol"/>
        <family val="2"/>
      </rPr>
      <t>★</t>
    </r>
    <r>
      <rPr>
        <sz val="11"/>
        <color theme="1"/>
        <rFont val="ＭＳ Ｐゴシック"/>
        <family val="2"/>
      </rPr>
      <t>デフォルト値：</t>
    </r>
    <r>
      <rPr>
        <sz val="11"/>
        <color theme="1"/>
        <rFont val="Arial"/>
        <family val="2"/>
      </rPr>
      <t>0.7</t>
    </r>
    <rPh sb="6" eb="7">
      <t>チ</t>
    </rPh>
    <phoneticPr fontId="2"/>
  </si>
  <si>
    <r>
      <rPr>
        <sz val="9"/>
        <color rgb="FFFF0000"/>
        <rFont val="ＭＳ Ｐゴシック"/>
        <family val="3"/>
        <charset val="128"/>
      </rPr>
      <t>遮熱フィルム</t>
    </r>
    <r>
      <rPr>
        <sz val="9"/>
        <color theme="1"/>
        <rFont val="ＭＳ Ｐゴシック"/>
        <family val="3"/>
        <charset val="128"/>
      </rPr>
      <t>及び上記以外（</t>
    </r>
    <r>
      <rPr>
        <sz val="9"/>
        <color theme="1"/>
        <rFont val="Arial"/>
        <family val="2"/>
      </rPr>
      <t>JIS</t>
    </r>
    <r>
      <rPr>
        <sz val="9"/>
        <color theme="1"/>
        <rFont val="ＭＳ Ｐゴシック"/>
        <family val="3"/>
        <charset val="128"/>
      </rPr>
      <t>で示された値）</t>
    </r>
    <rPh sb="0" eb="2">
      <t>シャネツ</t>
    </rPh>
    <rPh sb="6" eb="7">
      <t>オヨ</t>
    </rPh>
    <rPh sb="8" eb="10">
      <t>ジョウキ</t>
    </rPh>
    <rPh sb="10" eb="12">
      <t>イガイ</t>
    </rPh>
    <rPh sb="17" eb="18">
      <t>シメ</t>
    </rPh>
    <rPh sb="21" eb="22">
      <t>アタイ</t>
    </rPh>
    <phoneticPr fontId="2"/>
  </si>
  <si>
    <t>窓対策の内容</t>
    <rPh sb="0" eb="3">
      <t>マドタイサク</t>
    </rPh>
    <rPh sb="4" eb="6">
      <t>ナイヨウ</t>
    </rPh>
    <phoneticPr fontId="2"/>
  </si>
  <si>
    <t>※対策を行う方位のみ数値を変更し、対策を行わない方位については"デフォルト値"のままにしてください。</t>
    <rPh sb="17" eb="19">
      <t>タイサク</t>
    </rPh>
    <rPh sb="20" eb="21">
      <t>オコナ</t>
    </rPh>
    <rPh sb="24" eb="26">
      <t>ホウイ</t>
    </rPh>
    <rPh sb="37" eb="38">
      <t>チ</t>
    </rPh>
    <phoneticPr fontId="2"/>
  </si>
  <si>
    <t>※屋根の対策がない場合は、"デフォルト値"から変更しないでください。</t>
    <rPh sb="1" eb="3">
      <t>ヤネ</t>
    </rPh>
    <rPh sb="4" eb="6">
      <t>タイサク</t>
    </rPh>
    <rPh sb="9" eb="11">
      <t>バアイ</t>
    </rPh>
    <rPh sb="19" eb="20">
      <t>チ</t>
    </rPh>
    <rPh sb="23" eb="25">
      <t>ヘンコウ</t>
    </rPh>
    <phoneticPr fontId="2"/>
  </si>
  <si>
    <t>※[表-8]の入力について、対策を行う方位のみプルダウンより[表-7]内の該当する対策を選択し、
   対策を行わない方位については"デフォルト値"のままにしてください。</t>
    <rPh sb="2" eb="3">
      <t>ヒョウ</t>
    </rPh>
    <rPh sb="7" eb="9">
      <t>ニュウリョク</t>
    </rPh>
    <rPh sb="14" eb="16">
      <t>タイサク</t>
    </rPh>
    <rPh sb="17" eb="18">
      <t>オコナ</t>
    </rPh>
    <rPh sb="19" eb="21">
      <t>ホウイ</t>
    </rPh>
    <rPh sb="31" eb="32">
      <t>ヒョウ</t>
    </rPh>
    <rPh sb="35" eb="36">
      <t>ナイ</t>
    </rPh>
    <rPh sb="37" eb="39">
      <t>ガイトウ</t>
    </rPh>
    <rPh sb="41" eb="43">
      <t>タイサク</t>
    </rPh>
    <rPh sb="44" eb="46">
      <t>センタク</t>
    </rPh>
    <rPh sb="52" eb="54">
      <t>タイサク</t>
    </rPh>
    <rPh sb="55" eb="56">
      <t>オコナ</t>
    </rPh>
    <rPh sb="59" eb="61">
      <t>ホウイ</t>
    </rPh>
    <rPh sb="72" eb="73">
      <t>チ</t>
    </rPh>
    <phoneticPr fontId="2"/>
  </si>
  <si>
    <t>入力値の簡易計算シート（熱貫流率・日射熱吸収率の入力用）</t>
    <rPh sb="0" eb="3">
      <t>ニュウリョクチ</t>
    </rPh>
    <rPh sb="4" eb="6">
      <t>カンイ</t>
    </rPh>
    <rPh sb="6" eb="8">
      <t>ケイサン</t>
    </rPh>
    <rPh sb="12" eb="16">
      <t>ネツカンリュウリツ</t>
    </rPh>
    <rPh sb="17" eb="19">
      <t>ニッシャ</t>
    </rPh>
    <rPh sb="19" eb="20">
      <t>ネツ</t>
    </rPh>
    <rPh sb="20" eb="22">
      <t>キュウシュウ</t>
    </rPh>
    <rPh sb="22" eb="23">
      <t>リツ</t>
    </rPh>
    <rPh sb="24" eb="26">
      <t>ニュウリョク</t>
    </rPh>
    <rPh sb="26" eb="27">
      <t>ヨウ</t>
    </rPh>
    <phoneticPr fontId="2"/>
  </si>
  <si>
    <t>計算結果は「計算結果シート」にて示されます。</t>
    <rPh sb="0" eb="2">
      <t>ケイサン</t>
    </rPh>
    <rPh sb="2" eb="4">
      <t>ケッカ</t>
    </rPh>
    <rPh sb="6" eb="8">
      <t>ケイサン</t>
    </rPh>
    <rPh sb="8" eb="10">
      <t>ケッカ</t>
    </rPh>
    <rPh sb="16" eb="17">
      <t>シメ</t>
    </rPh>
    <phoneticPr fontId="2"/>
  </si>
  <si>
    <r>
      <t>注）申請内容が「既存窓への</t>
    </r>
    <r>
      <rPr>
        <u/>
        <sz val="11"/>
        <color rgb="FFFF0000"/>
        <rFont val="HG丸ｺﾞｼｯｸM-PRO"/>
        <family val="3"/>
        <charset val="128"/>
      </rPr>
      <t>遮熱フィルム</t>
    </r>
    <r>
      <rPr>
        <sz val="11"/>
        <color rgb="FFFF0000"/>
        <rFont val="HG丸ｺﾞｼｯｸM-PRO"/>
        <family val="3"/>
        <charset val="128"/>
      </rPr>
      <t>施工事業」の場合は、以下のように入力してください。
　　熱貫流率：デフォルト値（5.95W/(㎡K)）／日射熱吸収率(または日射熱取得率)：カタログ等の性能値</t>
    </r>
    <rPh sb="0" eb="1">
      <t>チュウ</t>
    </rPh>
    <rPh sb="2" eb="6">
      <t>シンセイナイヨウ</t>
    </rPh>
    <rPh sb="19" eb="23">
      <t>セコウジギョウ</t>
    </rPh>
    <rPh sb="29" eb="31">
      <t>イカ</t>
    </rPh>
    <rPh sb="35" eb="37">
      <t>ニュウリョク</t>
    </rPh>
    <rPh sb="81" eb="84">
      <t>ニッシャネツ</t>
    </rPh>
    <rPh sb="84" eb="87">
      <t>シュトクリツ</t>
    </rPh>
    <rPh sb="93" eb="94">
      <t>トウ</t>
    </rPh>
    <phoneticPr fontId="2"/>
  </si>
  <si>
    <r>
      <t>採用する遮熱フィルムやLow-Eガラス窓等のカタログで確認できる、
適合基準を満たす</t>
    </r>
    <r>
      <rPr>
        <u/>
        <sz val="11"/>
        <rFont val="HG丸ｺﾞｼｯｸM-PRO"/>
        <family val="3"/>
        <charset val="128"/>
      </rPr>
      <t>熱貫流率</t>
    </r>
    <r>
      <rPr>
        <sz val="11"/>
        <rFont val="HG丸ｺﾞｼｯｸM-PRO"/>
        <family val="3"/>
        <charset val="128"/>
      </rPr>
      <t>及び</t>
    </r>
    <r>
      <rPr>
        <u/>
        <sz val="11"/>
        <rFont val="HG丸ｺﾞｼｯｸM-PRO"/>
        <family val="3"/>
        <charset val="128"/>
      </rPr>
      <t>日射熱吸収率（または日射熱取得率）</t>
    </r>
    <r>
      <rPr>
        <sz val="11"/>
        <rFont val="HG丸ｺﾞｼｯｸM-PRO"/>
        <family val="3"/>
        <charset val="128"/>
      </rPr>
      <t>の値を入力してください。</t>
    </r>
    <rPh sb="0" eb="2">
      <t>サイヨウ</t>
    </rPh>
    <rPh sb="4" eb="6">
      <t>シャネツ</t>
    </rPh>
    <rPh sb="19" eb="20">
      <t>マド</t>
    </rPh>
    <rPh sb="20" eb="21">
      <t>トウ</t>
    </rPh>
    <rPh sb="27" eb="29">
      <t>カクニン</t>
    </rPh>
    <rPh sb="34" eb="39">
      <t>テキゴウ</t>
    </rPh>
    <rPh sb="39" eb="40">
      <t>ミ</t>
    </rPh>
    <rPh sb="42" eb="43">
      <t>ネツ</t>
    </rPh>
    <rPh sb="43" eb="45">
      <t>カンリュウ</t>
    </rPh>
    <rPh sb="45" eb="46">
      <t>リツ</t>
    </rPh>
    <rPh sb="46" eb="47">
      <t>オヨ</t>
    </rPh>
    <rPh sb="48" eb="50">
      <t>ニッシャ</t>
    </rPh>
    <rPh sb="50" eb="51">
      <t>ネツ</t>
    </rPh>
    <rPh sb="51" eb="53">
      <t>キュウシュウ</t>
    </rPh>
    <rPh sb="53" eb="54">
      <t>リツ</t>
    </rPh>
    <rPh sb="58" eb="61">
      <t>ニッシャネツ</t>
    </rPh>
    <rPh sb="61" eb="64">
      <t>シュトクリツ</t>
    </rPh>
    <rPh sb="66" eb="67">
      <t>アタイ</t>
    </rPh>
    <rPh sb="68" eb="70">
      <t>ニュウリョク</t>
    </rPh>
    <phoneticPr fontId="2"/>
  </si>
  <si>
    <t>Ｒ１年</t>
  </si>
  <si>
    <t>Ｒ３年</t>
    <rPh sb="2" eb="3">
      <t>ネン</t>
    </rPh>
    <phoneticPr fontId="2"/>
  </si>
  <si>
    <t>令和2年度</t>
    <rPh sb="0" eb="2">
      <t>レイワ</t>
    </rPh>
    <rPh sb="3" eb="5">
      <t>ネンド</t>
    </rPh>
    <phoneticPr fontId="22"/>
  </si>
  <si>
    <t>令和3年度</t>
    <rPh sb="0" eb="2">
      <t>レイワ</t>
    </rPh>
    <rPh sb="3" eb="5">
      <t>ネンド</t>
    </rPh>
    <rPh sb="4" eb="5">
      <t>ド</t>
    </rPh>
    <phoneticPr fontId="22"/>
  </si>
  <si>
    <t>狭山市</t>
  </si>
  <si>
    <t>役職名</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</si>
</sst>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0.0"/>
    <numFmt numFmtId="177" formatCode="#,##0.0;[Red]\-#,##0.0"/>
    <numFmt numFmtId="178" formatCode="#,##0.0000;[Red]\-#,##0.0000"/>
    <numFmt numFmtId="179" formatCode="#,##0.00000;[Red]\-#,##0.00000"/>
    <numFmt numFmtId="180" formatCode="0.000"/>
    <numFmt numFmtId="181" formatCode="0.0000"/>
    <numFmt numFmtId="182" formatCode="#,##0.00_ ;[Red]\-#,##0.00\ "/>
    <numFmt numFmtId="183" formatCode="[$-F800]dddd\,\ mmmm\ dd\,\ yyyy"/>
    <numFmt numFmtId="184" formatCode="#,##0&quot; kWh&quot;;[Red]\-#,##0&quot; kWh&quot;"/>
    <numFmt numFmtId="185" formatCode="#,##0.0&quot; t-CO2&quot;;[Red]\-#,##0.0&quot; t-CO2&quot;"/>
    <numFmt numFmtId="186" formatCode="#,##0.0&quot; %&quot;;[Red]\-#,##0.0&quot; %&quot;"/>
    <numFmt numFmtId="187" formatCode="#,##0_ "/>
    <numFmt numFmtId="188" formatCode="#,##0.0_ "/>
    <numFmt numFmtId="189" formatCode="0.0_ "/>
    <numFmt numFmtId="190" formatCode="#"/>
    <numFmt numFmtId="191" formatCode="0.000000_ "/>
    <numFmt numFmtId="192" formatCode="#,##0;\-#,##0;#"/>
    <numFmt numFmtId="193" formatCode="0.00000_ "/>
    <numFmt numFmtId="194" formatCode="0.000_ "/>
    <numFmt numFmtId="195" formatCode="#,##0&quot; kL&quot;;\-#,##0;#"/>
    <numFmt numFmtId="196" formatCode="#,##0_);[Red]\(#,##0\)"/>
    <numFmt numFmtId="197" formatCode="yyyy&quot;年&quot;m&quot;月&quot;d&quot;日&quot;;@"/>
    <numFmt numFmtId="198" formatCode="#,##0.000;[Red]\-#,##0.000"/>
  </numFmts>
  <fonts count="141">
    <font>
      <sz val="11"/>
      <color theme="1"/>
      <name val="ＭＳ Ｐゴシック"/>
      <family val="2"/>
      <scheme val="minor"/>
    </font>
    <font>
      <sz val="11"/>
      <color theme="1"/>
      <name val="ＭＳ Ｐゴシック"/>
      <family val="2"/>
      <charset val="128"/>
    </font>
    <font>
      <sz val="6"/>
      <name val="ＭＳ Ｐゴシック"/>
      <family val="3"/>
      <charset val="128"/>
      <scheme val="minor"/>
    </font>
    <font>
      <sz val="11"/>
      <color theme="1"/>
      <name val="ＭＳ Ｐゴシック"/>
      <family val="2"/>
      <scheme val="minor"/>
    </font>
    <font>
      <sz val="9"/>
      <color theme="1"/>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b/>
      <sz val="11"/>
      <color theme="1"/>
      <name val="ＭＳ Ｐゴシック"/>
      <family val="3"/>
      <charset val="128"/>
      <scheme val="minor"/>
    </font>
    <font>
      <sz val="11"/>
      <color rgb="FFFF0000"/>
      <name val="ＭＳ Ｐゴシック"/>
      <family val="2"/>
      <scheme val="minor"/>
    </font>
    <font>
      <vertAlign val="subscript"/>
      <sz val="11"/>
      <color theme="1"/>
      <name val="ＭＳ Ｐゴシック"/>
      <family val="3"/>
      <charset val="128"/>
      <scheme val="minor"/>
    </font>
    <font>
      <sz val="11"/>
      <color theme="1"/>
      <name val="ＭＳ Ｐゴシック"/>
      <family val="3"/>
      <charset val="128"/>
      <scheme val="minor"/>
    </font>
    <font>
      <vertAlign val="superscript"/>
      <sz val="11"/>
      <color theme="1"/>
      <name val="ＭＳ Ｐゴシック"/>
      <family val="3"/>
      <charset val="128"/>
      <scheme val="minor"/>
    </font>
    <font>
      <b/>
      <sz val="10"/>
      <color theme="1"/>
      <name val="ＭＳ Ｐゴシック"/>
      <family val="3"/>
      <charset val="128"/>
      <scheme val="minor"/>
    </font>
    <font>
      <vertAlign val="subscript"/>
      <sz val="10"/>
      <color theme="1"/>
      <name val="ＭＳ Ｐゴシック"/>
      <family val="3"/>
      <charset val="128"/>
      <scheme val="minor"/>
    </font>
    <font>
      <sz val="14"/>
      <color theme="1"/>
      <name val="ＭＳ Ｐゴシック"/>
      <family val="2"/>
      <scheme val="minor"/>
    </font>
    <font>
      <sz val="14"/>
      <color theme="1"/>
      <name val="ＭＳ Ｐゴシック"/>
      <family val="3"/>
      <charset val="128"/>
      <scheme val="minor"/>
    </font>
    <font>
      <sz val="11"/>
      <color rgb="FFFF0000"/>
      <name val="ＭＳ Ｐゴシック"/>
      <family val="3"/>
      <charset val="128"/>
      <scheme val="minor"/>
    </font>
    <font>
      <b/>
      <sz val="14"/>
      <color theme="1"/>
      <name val="ＭＳ Ｐゴシック"/>
      <family val="3"/>
      <charset val="128"/>
      <scheme val="minor"/>
    </font>
    <font>
      <sz val="10"/>
      <color rgb="FFFF0000"/>
      <name val="ＭＳ Ｐゴシック"/>
      <family val="3"/>
      <charset val="128"/>
      <scheme val="minor"/>
    </font>
    <font>
      <b/>
      <sz val="11"/>
      <color rgb="FFFF0000"/>
      <name val="ＭＳ Ｐゴシック"/>
      <family val="3"/>
      <charset val="128"/>
      <scheme val="minor"/>
    </font>
    <font>
      <b/>
      <u/>
      <sz val="14"/>
      <color theme="1"/>
      <name val="ＭＳ Ｐゴシック"/>
      <family val="3"/>
      <charset val="128"/>
      <scheme val="minor"/>
    </font>
    <font>
      <sz val="9"/>
      <color rgb="FF000000"/>
      <name val="Meiryo UI"/>
      <family val="3"/>
      <charset val="128"/>
    </font>
    <font>
      <sz val="6"/>
      <name val="ＭＳ Ｐゴシック"/>
      <family val="3"/>
      <charset val="128"/>
    </font>
    <font>
      <sz val="8"/>
      <color theme="1"/>
      <name val="ＭＳ Ｐゴシック"/>
      <family val="3"/>
      <charset val="128"/>
      <scheme val="minor"/>
    </font>
    <font>
      <sz val="12"/>
      <color theme="1"/>
      <name val="ＭＳ Ｐゴシック"/>
      <family val="3"/>
      <charset val="128"/>
      <scheme val="minor"/>
    </font>
    <font>
      <sz val="10"/>
      <name val="ＭＳ Ｐゴシック"/>
      <family val="3"/>
      <charset val="128"/>
      <scheme val="minor"/>
    </font>
    <font>
      <vertAlign val="subscript"/>
      <sz val="10"/>
      <color indexed="8"/>
      <name val="ＭＳ Ｐゴシック"/>
      <family val="3"/>
      <charset val="128"/>
    </font>
    <font>
      <sz val="10"/>
      <color indexed="8"/>
      <name val="ＭＳ Ｐゴシック"/>
      <family val="3"/>
      <charset val="128"/>
    </font>
    <font>
      <sz val="11"/>
      <color indexed="8"/>
      <name val="ＭＳ Ｐゴシック"/>
      <family val="3"/>
      <charset val="128"/>
    </font>
    <font>
      <sz val="10"/>
      <color theme="1"/>
      <name val="ＭＳ Ｐゴシック"/>
      <family val="3"/>
      <charset val="128"/>
    </font>
    <font>
      <sz val="11"/>
      <color theme="1"/>
      <name val="ＭＳ Ｐゴシック"/>
      <family val="3"/>
      <charset val="128"/>
    </font>
    <font>
      <sz val="11"/>
      <color theme="1"/>
      <name val="ＭＳ Ｐゴシック"/>
      <family val="2"/>
      <charset val="128"/>
      <scheme val="minor"/>
    </font>
    <font>
      <sz val="14"/>
      <color indexed="8"/>
      <name val="ＭＳ 明朝"/>
      <family val="1"/>
      <charset val="128"/>
    </font>
    <font>
      <sz val="11"/>
      <color indexed="8"/>
      <name val="ＭＳ 明朝"/>
      <family val="1"/>
      <charset val="128"/>
    </font>
    <font>
      <sz val="11"/>
      <name val="ＭＳ Ｐゴシック"/>
      <family val="3"/>
      <charset val="128"/>
    </font>
    <font>
      <sz val="11"/>
      <name val="ＭＳ 明朝"/>
      <family val="1"/>
      <charset val="128"/>
    </font>
    <font>
      <sz val="6"/>
      <name val="ＭＳ Ｐゴシック"/>
      <family val="2"/>
      <charset val="128"/>
      <scheme val="minor"/>
    </font>
    <font>
      <sz val="8"/>
      <name val="ＭＳ 明朝"/>
      <family val="1"/>
      <charset val="128"/>
    </font>
    <font>
      <sz val="14"/>
      <color theme="1"/>
      <name val="Arial"/>
      <family val="2"/>
    </font>
    <font>
      <sz val="10"/>
      <color theme="1"/>
      <name val="Arial"/>
      <family val="2"/>
    </font>
    <font>
      <b/>
      <u/>
      <sz val="14"/>
      <color theme="1"/>
      <name val="Arial"/>
      <family val="2"/>
    </font>
    <font>
      <b/>
      <u/>
      <sz val="14"/>
      <color theme="1"/>
      <name val="ＭＳ Ｐゴシック"/>
      <family val="3"/>
      <charset val="128"/>
    </font>
    <font>
      <sz val="11"/>
      <color theme="1"/>
      <name val="Arial"/>
      <family val="2"/>
    </font>
    <font>
      <b/>
      <sz val="11"/>
      <color theme="1"/>
      <name val="Arial"/>
      <family val="2"/>
    </font>
    <font>
      <sz val="11"/>
      <name val="Arial"/>
      <family val="2"/>
    </font>
    <font>
      <b/>
      <sz val="14"/>
      <color theme="1"/>
      <name val="Arial"/>
      <family val="2"/>
    </font>
    <font>
      <b/>
      <sz val="14"/>
      <color theme="1"/>
      <name val="ＭＳ Ｐゴシック"/>
      <family val="3"/>
      <charset val="128"/>
    </font>
    <font>
      <b/>
      <sz val="11"/>
      <name val="Arial"/>
      <family val="2"/>
    </font>
    <font>
      <b/>
      <sz val="11"/>
      <name val="ＭＳ Ｐゴシック"/>
      <family val="3"/>
      <charset val="128"/>
    </font>
    <font>
      <b/>
      <sz val="11"/>
      <color theme="1"/>
      <name val="ＭＳ Ｐゴシック"/>
      <family val="3"/>
      <charset val="128"/>
    </font>
    <font>
      <sz val="11"/>
      <color theme="1"/>
      <name val="ＭＳ Ｐゴシック"/>
      <family val="2"/>
    </font>
    <font>
      <b/>
      <sz val="11"/>
      <color rgb="FFFF0000"/>
      <name val="Arial"/>
      <family val="2"/>
    </font>
    <font>
      <sz val="11"/>
      <name val="ＭＳ Ｐゴシック"/>
      <family val="2"/>
    </font>
    <font>
      <sz val="10"/>
      <color theme="1"/>
      <name val="ＭＳ Ｐゴシック"/>
      <family val="2"/>
    </font>
    <font>
      <sz val="10"/>
      <color rgb="FFFF0000"/>
      <name val="Arial"/>
      <family val="2"/>
    </font>
    <font>
      <sz val="10"/>
      <color rgb="FFFF0000"/>
      <name val="ＭＳ Ｐゴシック"/>
      <family val="3"/>
      <charset val="128"/>
    </font>
    <font>
      <sz val="9"/>
      <color theme="1"/>
      <name val="Arial"/>
      <family val="2"/>
    </font>
    <font>
      <sz val="9"/>
      <color theme="1"/>
      <name val="ＭＳ Ｐゴシック"/>
      <family val="2"/>
    </font>
    <font>
      <sz val="9"/>
      <color theme="1"/>
      <name val="ＭＳ Ｐゴシック"/>
      <family val="3"/>
      <charset val="128"/>
    </font>
    <font>
      <sz val="11"/>
      <color rgb="FFFF0000"/>
      <name val="ＭＳ Ｐゴシック"/>
      <family val="3"/>
      <charset val="128"/>
    </font>
    <font>
      <b/>
      <sz val="14"/>
      <color theme="1"/>
      <name val="ＭＳ ゴシック"/>
      <family val="3"/>
      <charset val="128"/>
    </font>
    <font>
      <b/>
      <sz val="14"/>
      <color indexed="8"/>
      <name val="ＭＳ ゴシック"/>
      <family val="3"/>
      <charset val="128"/>
    </font>
    <font>
      <u/>
      <sz val="11"/>
      <color theme="10"/>
      <name val="ＭＳ Ｐゴシック"/>
      <family val="2"/>
      <scheme val="minor"/>
    </font>
    <font>
      <u/>
      <sz val="12"/>
      <color theme="10"/>
      <name val="ＭＳ Ｐゴシック"/>
      <family val="3"/>
      <charset val="128"/>
      <scheme val="minor"/>
    </font>
    <font>
      <b/>
      <sz val="12"/>
      <color indexed="81"/>
      <name val="MS P ゴシック"/>
      <family val="3"/>
      <charset val="128"/>
    </font>
    <font>
      <sz val="12"/>
      <color theme="1"/>
      <name val="Arial"/>
      <family val="2"/>
    </font>
    <font>
      <sz val="12"/>
      <color theme="1"/>
      <name val="ＭＳ Ｐゴシック"/>
      <family val="3"/>
      <charset val="128"/>
    </font>
    <font>
      <b/>
      <sz val="12"/>
      <color theme="1"/>
      <name val="ＭＳ Ｐゴシック"/>
      <family val="3"/>
      <charset val="128"/>
      <scheme val="minor"/>
    </font>
    <font>
      <sz val="11"/>
      <color theme="1"/>
      <name val="ＭＳ ゴシック"/>
      <family val="2"/>
      <charset val="128"/>
    </font>
    <font>
      <sz val="11"/>
      <color theme="1"/>
      <name val="Segoe UI Symbol"/>
      <family val="2"/>
    </font>
    <font>
      <sz val="11"/>
      <color theme="1"/>
      <name val="Arial"/>
      <family val="3"/>
    </font>
    <font>
      <sz val="11"/>
      <color theme="1"/>
      <name val="Arial"/>
      <family val="3"/>
      <charset val="128"/>
    </font>
    <font>
      <sz val="11"/>
      <color theme="1"/>
      <name val="ＭＳ ゴシック"/>
      <family val="3"/>
      <charset val="128"/>
    </font>
    <font>
      <sz val="16"/>
      <color theme="1"/>
      <name val="Arial"/>
      <family val="2"/>
    </font>
    <font>
      <sz val="16"/>
      <color theme="1"/>
      <name val="Segoe UI Symbol"/>
      <family val="2"/>
    </font>
    <font>
      <sz val="16"/>
      <color theme="1"/>
      <name val="ＭＳ ゴシック"/>
      <family val="2"/>
      <charset val="128"/>
    </font>
    <font>
      <sz val="11"/>
      <color theme="1"/>
      <name val="MS UI Gothic"/>
      <family val="2"/>
      <charset val="1"/>
    </font>
    <font>
      <sz val="11"/>
      <color theme="1"/>
      <name val="MS UI Gothic"/>
      <family val="2"/>
      <charset val="128"/>
    </font>
    <font>
      <sz val="8"/>
      <color indexed="8"/>
      <name val="ＭＳ 明朝"/>
      <family val="1"/>
      <charset val="128"/>
    </font>
    <font>
      <sz val="14"/>
      <name val="ＭＳ 明朝"/>
      <family val="1"/>
      <charset val="128"/>
    </font>
    <font>
      <vertAlign val="superscript"/>
      <sz val="8"/>
      <name val="ＭＳ 明朝"/>
      <family val="1"/>
      <charset val="128"/>
    </font>
    <font>
      <sz val="9"/>
      <color theme="1"/>
      <name val="ＭＳ Ｐゴシック"/>
      <family val="2"/>
      <scheme val="minor"/>
    </font>
    <font>
      <b/>
      <sz val="9"/>
      <color indexed="81"/>
      <name val="MS P ゴシック"/>
      <family val="3"/>
      <charset val="128"/>
    </font>
    <font>
      <sz val="9"/>
      <color indexed="81"/>
      <name val="MS P ゴシック"/>
      <family val="3"/>
      <charset val="128"/>
    </font>
    <font>
      <b/>
      <u/>
      <sz val="9"/>
      <color indexed="81"/>
      <name val="MS P ゴシック"/>
      <family val="3"/>
      <charset val="128"/>
    </font>
    <font>
      <b/>
      <sz val="12"/>
      <color rgb="FFFF0000"/>
      <name val="ＭＳ Ｐゴシック"/>
      <family val="3"/>
      <charset val="128"/>
      <scheme val="minor"/>
    </font>
    <font>
      <b/>
      <sz val="8"/>
      <color theme="1"/>
      <name val="ＭＳ Ｐゴシック"/>
      <family val="3"/>
      <charset val="128"/>
      <scheme val="minor"/>
    </font>
    <font>
      <b/>
      <sz val="12"/>
      <color rgb="FFFF0000"/>
      <name val="Arial"/>
      <family val="2"/>
    </font>
    <font>
      <sz val="14"/>
      <name val="ＭＳ Ｐゴシック"/>
      <family val="3"/>
      <charset val="128"/>
      <scheme val="minor"/>
    </font>
    <font>
      <sz val="11"/>
      <color theme="1" tint="0.34998626667073579"/>
      <name val="ＭＳ Ｐゴシック"/>
      <family val="3"/>
      <charset val="128"/>
      <scheme val="minor"/>
    </font>
    <font>
      <sz val="11"/>
      <color rgb="FFFF0000"/>
      <name val="Arial"/>
      <family val="2"/>
    </font>
    <font>
      <b/>
      <sz val="12"/>
      <color indexed="10"/>
      <name val="MS P ゴシック"/>
      <family val="3"/>
      <charset val="128"/>
    </font>
    <font>
      <u/>
      <sz val="11"/>
      <color theme="1"/>
      <name val="ＭＳ Ｐゴシック"/>
      <family val="3"/>
      <charset val="128"/>
      <scheme val="minor"/>
    </font>
    <font>
      <b/>
      <u/>
      <sz val="11"/>
      <color theme="1"/>
      <name val="ＭＳ Ｐゴシック"/>
      <family val="3"/>
      <charset val="128"/>
      <scheme val="minor"/>
    </font>
    <font>
      <sz val="12"/>
      <color indexed="81"/>
      <name val="MS P ゴシック"/>
      <family val="3"/>
      <charset val="128"/>
    </font>
    <font>
      <b/>
      <sz val="11"/>
      <color indexed="81"/>
      <name val="MS P ゴシック"/>
      <family val="3"/>
      <charset val="128"/>
    </font>
    <font>
      <b/>
      <sz val="14"/>
      <color indexed="81"/>
      <name val="MS P ゴシック"/>
      <family val="3"/>
      <charset val="128"/>
    </font>
    <font>
      <b/>
      <sz val="11"/>
      <color indexed="10"/>
      <name val="MS P ゴシック"/>
      <family val="3"/>
      <charset val="128"/>
    </font>
    <font>
      <b/>
      <sz val="14"/>
      <color indexed="10"/>
      <name val="MS P ゴシック"/>
      <family val="3"/>
      <charset val="128"/>
    </font>
    <font>
      <vertAlign val="subscript"/>
      <sz val="11"/>
      <name val="ＭＳ Ｐゴシック"/>
      <family val="3"/>
      <charset val="128"/>
    </font>
    <font>
      <sz val="11"/>
      <color rgb="FFFF0000"/>
      <name val="ＭＳ ゴシック"/>
      <family val="2"/>
      <charset val="128"/>
    </font>
    <font>
      <sz val="11"/>
      <color rgb="FFFF0000"/>
      <name val="ＭＳ ゴシック"/>
      <family val="3"/>
      <charset val="128"/>
    </font>
    <font>
      <sz val="9"/>
      <color rgb="FFFF0000"/>
      <name val="ＭＳ Ｐゴシック"/>
      <family val="3"/>
      <charset val="128"/>
    </font>
    <font>
      <b/>
      <sz val="9"/>
      <color theme="1"/>
      <name val="ＭＳ Ｐゴシック"/>
      <family val="3"/>
      <charset val="128"/>
      <scheme val="minor"/>
    </font>
    <font>
      <strike/>
      <sz val="9"/>
      <color theme="1"/>
      <name val="ＭＳ Ｐゴシック"/>
      <family val="3"/>
      <charset val="128"/>
      <scheme val="minor"/>
    </font>
    <font>
      <sz val="10"/>
      <color theme="1"/>
      <name val="Segoe UI Symbol"/>
      <family val="2"/>
    </font>
    <font>
      <b/>
      <sz val="11"/>
      <color theme="1"/>
      <name val="ＭＳ ゴシック"/>
      <family val="3"/>
      <charset val="128"/>
    </font>
    <font>
      <b/>
      <sz val="11"/>
      <color theme="1"/>
      <name val="ＭＳ Ｐゴシック"/>
      <family val="2"/>
    </font>
    <font>
      <b/>
      <sz val="10"/>
      <color rgb="FFFF0000"/>
      <name val="ＭＳ Ｐゴシック"/>
      <family val="3"/>
      <charset val="128"/>
      <scheme val="minor"/>
    </font>
    <font>
      <b/>
      <sz val="10"/>
      <color theme="1"/>
      <name val="ＭＳ Ｐゴシック"/>
      <family val="3"/>
      <charset val="128"/>
    </font>
    <font>
      <b/>
      <sz val="10"/>
      <color rgb="FFFF0000"/>
      <name val="ＭＳ Ｐゴシック"/>
      <family val="3"/>
      <charset val="128"/>
    </font>
    <font>
      <sz val="6"/>
      <color theme="1"/>
      <name val="ＭＳ Ｐゴシック"/>
      <family val="3"/>
      <charset val="128"/>
      <scheme val="minor"/>
    </font>
    <font>
      <b/>
      <sz val="11"/>
      <color theme="1"/>
      <name val="Arial"/>
      <family val="3"/>
      <charset val="128"/>
    </font>
    <font>
      <sz val="11"/>
      <name val="Arial"/>
      <family val="2"/>
      <charset val="128"/>
    </font>
    <font>
      <sz val="11"/>
      <name val="ＭＳ ゴシック"/>
      <family val="2"/>
      <charset val="128"/>
    </font>
    <font>
      <b/>
      <sz val="14"/>
      <color theme="6" tint="0.59999389629810485"/>
      <name val="ＭＳ ゴシック"/>
      <family val="3"/>
      <charset val="128"/>
    </font>
    <font>
      <sz val="11"/>
      <name val="ＭＳ ゴシック"/>
      <family val="3"/>
      <charset val="128"/>
    </font>
    <font>
      <sz val="11"/>
      <color theme="3" tint="0.39997558519241921"/>
      <name val="Arial"/>
      <family val="2"/>
    </font>
    <font>
      <sz val="11"/>
      <color theme="3" tint="0.39997558519241921"/>
      <name val="ＭＳ ゴシック"/>
      <family val="3"/>
      <charset val="128"/>
    </font>
    <font>
      <u/>
      <sz val="11"/>
      <name val="ＭＳ Ｐゴシック"/>
      <family val="3"/>
      <charset val="128"/>
    </font>
    <font>
      <u/>
      <sz val="11"/>
      <name val="ＭＳ ゴシック"/>
      <family val="2"/>
      <charset val="128"/>
    </font>
    <font>
      <sz val="10"/>
      <name val="Arial"/>
      <family val="2"/>
    </font>
    <font>
      <sz val="11"/>
      <color theme="1"/>
      <name val="HG丸ｺﾞｼｯｸM-PRO"/>
      <family val="3"/>
      <charset val="128"/>
    </font>
    <font>
      <sz val="12"/>
      <color theme="1"/>
      <name val="ＭＳ Ｐゴシック"/>
      <family val="2"/>
      <scheme val="minor"/>
    </font>
    <font>
      <sz val="12"/>
      <name val="ＭＳ ゴシック"/>
      <family val="3"/>
      <charset val="128"/>
    </font>
    <font>
      <b/>
      <sz val="14"/>
      <name val="ＭＳ ゴシック"/>
      <family val="3"/>
      <charset val="128"/>
    </font>
    <font>
      <sz val="12"/>
      <name val="ＭＳ Ｐゴシック"/>
      <family val="3"/>
      <charset val="128"/>
      <scheme val="minor"/>
    </font>
    <font>
      <sz val="12"/>
      <name val="ＭＳ Ｐゴシック"/>
      <family val="3"/>
      <charset val="128"/>
    </font>
    <font>
      <vertAlign val="superscript"/>
      <sz val="10"/>
      <color theme="1"/>
      <name val="ＭＳ Ｐゴシック"/>
      <family val="3"/>
      <charset val="128"/>
    </font>
    <font>
      <b/>
      <u/>
      <sz val="10"/>
      <color theme="1"/>
      <name val="ＭＳ Ｐゴシック"/>
      <family val="3"/>
      <charset val="128"/>
    </font>
    <font>
      <u/>
      <sz val="11"/>
      <name val="HG丸ｺﾞｼｯｸM-PRO"/>
      <family val="3"/>
      <charset val="128"/>
    </font>
    <font>
      <u/>
      <sz val="11"/>
      <color theme="1"/>
      <name val="HG丸ｺﾞｼｯｸM-PRO"/>
      <family val="3"/>
      <charset val="128"/>
    </font>
    <font>
      <sz val="8"/>
      <name val="Arial"/>
      <family val="2"/>
    </font>
    <font>
      <sz val="8"/>
      <name val="ＭＳ Ｐゴシック"/>
      <family val="2"/>
    </font>
    <font>
      <sz val="10"/>
      <name val="ＭＳ ゴシック"/>
      <family val="2"/>
      <charset val="128"/>
    </font>
    <font>
      <sz val="9"/>
      <name val="ＭＳ Ｐゴシック"/>
      <family val="3"/>
      <charset val="128"/>
    </font>
    <font>
      <sz val="9"/>
      <color theme="1"/>
      <name val="Arial"/>
      <family val="3"/>
      <charset val="128"/>
    </font>
    <font>
      <sz val="11"/>
      <name val="HG丸ｺﾞｼｯｸM-PRO"/>
      <family val="3"/>
      <charset val="128"/>
    </font>
    <font>
      <sz val="11"/>
      <color rgb="FFFF0000"/>
      <name val="HG丸ｺﾞｼｯｸM-PRO"/>
      <family val="3"/>
      <charset val="128"/>
    </font>
    <font>
      <u/>
      <sz val="11"/>
      <color rgb="FFFF0000"/>
      <name val="HG丸ｺﾞｼｯｸM-PRO"/>
      <family val="3"/>
      <charset val="128"/>
    </font>
    <font>
      <b/>
      <sz val="10"/>
      <color indexed="81"/>
      <name val="MS P ゴシック"/>
      <family val="3"/>
      <charset val="128"/>
    </font>
  </fonts>
  <fills count="24">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indexed="9"/>
        <bgColor indexed="64"/>
      </patternFill>
    </fill>
    <fill>
      <patternFill patternType="solid">
        <fgColor indexed="13"/>
        <bgColor indexed="64"/>
      </patternFill>
    </fill>
    <fill>
      <patternFill patternType="solid">
        <fgColor theme="8" tint="0.39997558519241921"/>
        <bgColor indexed="64"/>
      </patternFill>
    </fill>
    <fill>
      <patternFill patternType="solid">
        <fgColor theme="0"/>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9" tint="0.59999389629810485"/>
        <bgColor indexed="64"/>
      </patternFill>
    </fill>
    <fill>
      <patternFill patternType="solid">
        <fgColor rgb="FFFFCCCC"/>
        <bgColor indexed="64"/>
      </patternFill>
    </fill>
    <fill>
      <patternFill patternType="solid">
        <fgColor rgb="FFFFFFCC"/>
        <bgColor indexed="64"/>
      </patternFill>
    </fill>
    <fill>
      <patternFill patternType="solid">
        <fgColor rgb="FFCCECFF"/>
        <bgColor indexed="64"/>
      </patternFill>
    </fill>
    <fill>
      <patternFill patternType="solid">
        <fgColor rgb="FFCCFF99"/>
        <bgColor indexed="64"/>
      </patternFill>
    </fill>
    <fill>
      <patternFill patternType="solid">
        <fgColor rgb="FF00B05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diagonal/>
    </border>
    <border>
      <left/>
      <right/>
      <top style="thin">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top style="thin">
        <color theme="6" tint="-0.24994659260841701"/>
      </top>
      <bottom style="thin">
        <color theme="6" tint="-0.24994659260841701"/>
      </bottom>
      <diagonal/>
    </border>
    <border>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right style="medium">
        <color indexed="64"/>
      </right>
      <top style="medium">
        <color indexed="64"/>
      </top>
      <bottom style="thin">
        <color indexed="64"/>
      </bottom>
      <diagonal/>
    </border>
    <border>
      <left style="medium">
        <color theme="0"/>
      </left>
      <right style="thin">
        <color theme="6" tint="-0.24994659260841701"/>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top/>
      <bottom style="medium">
        <color theme="0"/>
      </bottom>
      <diagonal/>
    </border>
    <border>
      <left style="medium">
        <color theme="0"/>
      </left>
      <right/>
      <top style="medium">
        <color theme="0"/>
      </top>
      <bottom/>
      <diagonal/>
    </border>
    <border>
      <left style="medium">
        <color theme="0"/>
      </left>
      <right style="medium">
        <color theme="0"/>
      </right>
      <top style="medium">
        <color theme="0"/>
      </top>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thin">
        <color theme="6" tint="-0.24994659260841701"/>
      </left>
      <right/>
      <top/>
      <bottom style="thin">
        <color theme="6" tint="-0.24994659260841701"/>
      </bottom>
      <diagonal/>
    </border>
    <border>
      <left/>
      <right/>
      <top/>
      <bottom style="thin">
        <color theme="6" tint="-0.24994659260841701"/>
      </bottom>
      <diagonal/>
    </border>
    <border>
      <left style="thin">
        <color indexed="64"/>
      </left>
      <right style="thin">
        <color indexed="64"/>
      </right>
      <top style="hair">
        <color indexed="64"/>
      </top>
      <bottom style="thin">
        <color indexed="64"/>
      </bottom>
      <diagonal/>
    </border>
    <border diagonalUp="1">
      <left style="thin">
        <color indexed="64"/>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thin">
        <color indexed="64"/>
      </right>
      <top style="hair">
        <color indexed="64"/>
      </top>
      <bottom style="thin">
        <color indexed="64"/>
      </bottom>
      <diagonal/>
    </border>
    <border>
      <left style="medium">
        <color rgb="FFFF0000"/>
      </left>
      <right style="thin">
        <color theme="1"/>
      </right>
      <top style="medium">
        <color rgb="FFFF0000"/>
      </top>
      <bottom style="thin">
        <color theme="1"/>
      </bottom>
      <diagonal/>
    </border>
    <border>
      <left style="thin">
        <color theme="1"/>
      </left>
      <right style="thin">
        <color theme="1"/>
      </right>
      <top style="medium">
        <color rgb="FFFF0000"/>
      </top>
      <bottom style="thin">
        <color theme="1"/>
      </bottom>
      <diagonal/>
    </border>
    <border>
      <left style="thin">
        <color theme="1"/>
      </left>
      <right style="medium">
        <color rgb="FFFF0000"/>
      </right>
      <top style="medium">
        <color rgb="FFFF0000"/>
      </top>
      <bottom style="thin">
        <color theme="1"/>
      </bottom>
      <diagonal/>
    </border>
    <border>
      <left style="medium">
        <color rgb="FFFF0000"/>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rgb="FFFF0000"/>
      </right>
      <top style="thin">
        <color theme="1"/>
      </top>
      <bottom style="thin">
        <color theme="1"/>
      </bottom>
      <diagonal/>
    </border>
    <border>
      <left style="thin">
        <color indexed="64"/>
      </left>
      <right/>
      <top style="thin">
        <color indexed="64"/>
      </top>
      <bottom style="double">
        <color indexed="64"/>
      </bottom>
      <diagonal/>
    </border>
    <border>
      <left style="medium">
        <color rgb="FFFF0000"/>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rgb="FFFF0000"/>
      </right>
      <top style="thin">
        <color theme="1"/>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medium">
        <color rgb="FFFF0000"/>
      </left>
      <right/>
      <top style="double">
        <color indexed="64"/>
      </top>
      <bottom style="thin">
        <color theme="1"/>
      </bottom>
      <diagonal style="thin">
        <color theme="1"/>
      </diagonal>
    </border>
    <border diagonalUp="1">
      <left/>
      <right/>
      <top style="double">
        <color indexed="64"/>
      </top>
      <bottom style="thin">
        <color theme="1"/>
      </bottom>
      <diagonal style="thin">
        <color theme="1"/>
      </diagonal>
    </border>
    <border diagonalUp="1">
      <left/>
      <right style="medium">
        <color rgb="FFFF0000"/>
      </right>
      <top style="double">
        <color indexed="64"/>
      </top>
      <bottom style="thin">
        <color theme="1"/>
      </bottom>
      <diagonal style="thin">
        <color theme="1"/>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style="medium">
        <color indexed="64"/>
      </bottom>
      <diagonal style="thin">
        <color indexed="64"/>
      </diagonal>
    </border>
    <border>
      <left style="medium">
        <color indexed="64"/>
      </left>
      <right style="medium">
        <color indexed="64"/>
      </right>
      <top/>
      <bottom style="medium">
        <color indexed="64"/>
      </bottom>
      <diagonal/>
    </border>
    <border>
      <left style="medium">
        <color rgb="FFFF0000"/>
      </left>
      <right/>
      <top/>
      <bottom/>
      <diagonal/>
    </border>
    <border>
      <left/>
      <right style="medium">
        <color rgb="FFFF0000"/>
      </right>
      <top/>
      <bottom/>
      <diagonal/>
    </border>
    <border>
      <left style="medium">
        <color indexed="64"/>
      </left>
      <right style="medium">
        <color indexed="64"/>
      </right>
      <top/>
      <bottom/>
      <diagonal/>
    </border>
    <border>
      <left style="medium">
        <color rgb="FFFF0000"/>
      </left>
      <right style="thin">
        <color theme="1"/>
      </right>
      <top style="thin">
        <color theme="1"/>
      </top>
      <bottom style="medium">
        <color rgb="FFFF0000"/>
      </bottom>
      <diagonal/>
    </border>
    <border>
      <left style="thin">
        <color theme="1"/>
      </left>
      <right style="thin">
        <color theme="1"/>
      </right>
      <top style="thin">
        <color theme="1"/>
      </top>
      <bottom style="medium">
        <color rgb="FFFF0000"/>
      </bottom>
      <diagonal/>
    </border>
    <border>
      <left style="thin">
        <color theme="1"/>
      </left>
      <right style="medium">
        <color rgb="FFFF0000"/>
      </right>
      <top style="thin">
        <color theme="1"/>
      </top>
      <bottom style="medium">
        <color rgb="FFFF0000"/>
      </bottom>
      <diagonal/>
    </border>
    <border diagonalUp="1">
      <left style="thin">
        <color indexed="64"/>
      </left>
      <right style="thin">
        <color indexed="64"/>
      </right>
      <top/>
      <bottom style="medium">
        <color indexed="64"/>
      </bottom>
      <diagonal style="thin">
        <color indexed="64"/>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right/>
      <top style="medium">
        <color indexed="64"/>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right/>
      <top style="thin">
        <color theme="6" tint="-0.24994659260841701"/>
      </top>
      <bottom/>
      <diagonal/>
    </border>
    <border>
      <left style="thin">
        <color theme="6" tint="-0.24994659260841701"/>
      </left>
      <right style="thin">
        <color theme="6" tint="-0.24994659260841701"/>
      </right>
      <top/>
      <bottom style="thin">
        <color theme="6" tint="-0.24994659260841701"/>
      </bottom>
      <diagonal/>
    </border>
    <border>
      <left style="thin">
        <color theme="6" tint="-0.24994659260841701"/>
      </left>
      <right style="thin">
        <color theme="6" tint="-0.24994659260841701"/>
      </right>
      <top style="thin">
        <color theme="6" tint="-0.24994659260841701"/>
      </top>
      <bottom/>
      <diagonal/>
    </border>
    <border>
      <left style="medium">
        <color indexed="64"/>
      </left>
      <right style="medium">
        <color indexed="64"/>
      </right>
      <top style="medium">
        <color indexed="64"/>
      </top>
      <bottom style="thin">
        <color theme="6" tint="-0.24994659260841701"/>
      </bottom>
      <diagonal/>
    </border>
    <border>
      <left style="medium">
        <color indexed="64"/>
      </left>
      <right style="medium">
        <color indexed="64"/>
      </right>
      <top style="thin">
        <color theme="6" tint="-0.24994659260841701"/>
      </top>
      <bottom style="medium">
        <color indexed="64"/>
      </bottom>
      <diagonal/>
    </border>
    <border>
      <left style="medium">
        <color indexed="64"/>
      </left>
      <right style="medium">
        <color indexed="64"/>
      </right>
      <top style="thin">
        <color theme="6" tint="-0.24994659260841701"/>
      </top>
      <bottom style="thin">
        <color theme="6" tint="-0.24994659260841701"/>
      </bottom>
      <diagonal/>
    </border>
    <border>
      <left/>
      <right/>
      <top/>
      <bottom style="dotted">
        <color auto="1"/>
      </bottom>
      <diagonal/>
    </border>
    <border>
      <left style="thin">
        <color theme="6" tint="-0.24994659260841701"/>
      </left>
      <right/>
      <top/>
      <bottom/>
      <diagonal/>
    </border>
    <border>
      <left style="thin">
        <color auto="1"/>
      </left>
      <right style="thin">
        <color auto="1"/>
      </right>
      <top style="double">
        <color auto="1"/>
      </top>
      <bottom style="thin">
        <color auto="1"/>
      </bottom>
      <diagonal/>
    </border>
    <border>
      <left/>
      <right style="medium">
        <color indexed="64"/>
      </right>
      <top/>
      <bottom style="thin">
        <color indexed="64"/>
      </bottom>
      <diagonal/>
    </border>
    <border>
      <left style="medium">
        <color theme="0"/>
      </left>
      <right style="medium">
        <color theme="0"/>
      </right>
      <top/>
      <bottom style="medium">
        <color theme="0"/>
      </bottom>
      <diagonal/>
    </border>
    <border>
      <left style="medium">
        <color theme="0"/>
      </left>
      <right style="thin">
        <color theme="6" tint="-0.24994659260841701"/>
      </right>
      <top/>
      <bottom style="medium">
        <color theme="0"/>
      </bottom>
      <diagonal/>
    </border>
    <border>
      <left/>
      <right style="thin">
        <color theme="6" tint="-0.24994659260841701"/>
      </right>
      <top style="medium">
        <color theme="0"/>
      </top>
      <bottom style="medium">
        <color theme="0"/>
      </bottom>
      <diagonal/>
    </border>
    <border>
      <left/>
      <right style="medium">
        <color theme="0"/>
      </right>
      <top/>
      <bottom style="medium">
        <color theme="0"/>
      </bottom>
      <diagonal/>
    </border>
  </borders>
  <cellStyleXfs count="13">
    <xf numFmtId="0" fontId="0" fillId="0" borderId="0"/>
    <xf numFmtId="38" fontId="3" fillId="0" borderId="0" applyFont="0" applyFill="0" applyBorder="0" applyAlignment="0" applyProtection="0">
      <alignment vertical="center"/>
    </xf>
    <xf numFmtId="0" fontId="10" fillId="0" borderId="0">
      <alignment vertical="center"/>
    </xf>
    <xf numFmtId="38" fontId="28" fillId="0" borderId="0" applyFont="0" applyFill="0" applyBorder="0" applyAlignment="0" applyProtection="0">
      <alignment vertical="center"/>
    </xf>
    <xf numFmtId="0" fontId="10" fillId="0" borderId="0"/>
    <xf numFmtId="0" fontId="31" fillId="0" borderId="0">
      <alignment vertical="center"/>
    </xf>
    <xf numFmtId="0" fontId="34" fillId="0" borderId="0">
      <alignment vertical="center"/>
    </xf>
    <xf numFmtId="38" fontId="31" fillId="0" borderId="0" applyFont="0" applyFill="0" applyBorder="0" applyAlignment="0" applyProtection="0">
      <alignment vertical="center"/>
    </xf>
    <xf numFmtId="0" fontId="62" fillId="0" borderId="0" applyNumberFormat="0" applyFill="0" applyBorder="0" applyAlignment="0" applyProtection="0"/>
    <xf numFmtId="6" fontId="3" fillId="0" borderId="0" applyFont="0" applyFill="0" applyBorder="0" applyAlignment="0" applyProtection="0">
      <alignment vertical="center"/>
    </xf>
    <xf numFmtId="0" fontId="31" fillId="0" borderId="0">
      <alignment vertical="center"/>
    </xf>
    <xf numFmtId="38" fontId="31" fillId="0" borderId="0" applyFont="0" applyFill="0" applyBorder="0" applyAlignment="0" applyProtection="0">
      <alignment vertical="center"/>
    </xf>
    <xf numFmtId="0" fontId="1" fillId="0" borderId="0">
      <alignment vertical="center"/>
    </xf>
  </cellStyleXfs>
  <cellXfs count="2146">
    <xf numFmtId="0" fontId="0" fillId="0" borderId="0" xfId="0"/>
    <xf numFmtId="0" fontId="0" fillId="0" borderId="0" xfId="0" applyAlignment="1">
      <alignment vertical="center"/>
    </xf>
    <xf numFmtId="0" fontId="0" fillId="0" borderId="1" xfId="0" applyBorder="1" applyAlignment="1">
      <alignment vertical="center"/>
    </xf>
    <xf numFmtId="0" fontId="0" fillId="2" borderId="1" xfId="0" applyFill="1" applyBorder="1" applyAlignment="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2" fontId="0" fillId="0" borderId="1" xfId="0" applyNumberFormat="1" applyBorder="1" applyAlignment="1">
      <alignment vertical="center"/>
    </xf>
    <xf numFmtId="38" fontId="0" fillId="0" borderId="1" xfId="1" applyFont="1" applyBorder="1">
      <alignment vertical="center"/>
    </xf>
    <xf numFmtId="0" fontId="0" fillId="0" borderId="2" xfId="0" applyBorder="1" applyAlignment="1">
      <alignment vertical="center"/>
    </xf>
    <xf numFmtId="0" fontId="0" fillId="0" borderId="3" xfId="0" applyBorder="1" applyAlignment="1">
      <alignment vertical="center"/>
    </xf>
    <xf numFmtId="38" fontId="0" fillId="0" borderId="3" xfId="1" applyFont="1" applyBorder="1">
      <alignment vertical="center"/>
    </xf>
    <xf numFmtId="0" fontId="0" fillId="0" borderId="4" xfId="0" applyBorder="1" applyAlignment="1">
      <alignment vertical="center"/>
    </xf>
    <xf numFmtId="40" fontId="0" fillId="0" borderId="1" xfId="1" applyNumberFormat="1" applyFont="1" applyBorder="1">
      <alignment vertical="center"/>
    </xf>
    <xf numFmtId="38" fontId="0" fillId="0" borderId="1" xfId="0" applyNumberFormat="1" applyBorder="1" applyAlignment="1">
      <alignment vertical="center"/>
    </xf>
    <xf numFmtId="0" fontId="0" fillId="3" borderId="1" xfId="0" applyFill="1" applyBorder="1" applyAlignment="1">
      <alignment horizontal="center" vertical="center"/>
    </xf>
    <xf numFmtId="0" fontId="0" fillId="3" borderId="1" xfId="0" applyFill="1" applyBorder="1" applyAlignment="1">
      <alignment vertical="center"/>
    </xf>
    <xf numFmtId="40" fontId="0" fillId="0" borderId="3" xfId="1" applyNumberFormat="1" applyFont="1" applyBorder="1">
      <alignment vertical="center"/>
    </xf>
    <xf numFmtId="40" fontId="0" fillId="0" borderId="1" xfId="0" applyNumberFormat="1" applyBorder="1" applyAlignment="1">
      <alignment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0" fillId="0" borderId="15" xfId="0" applyBorder="1" applyAlignment="1">
      <alignment horizontal="right" vertical="center"/>
    </xf>
    <xf numFmtId="0" fontId="0" fillId="0" borderId="3" xfId="0" applyBorder="1" applyAlignment="1">
      <alignment horizontal="left" vertical="center"/>
    </xf>
    <xf numFmtId="0" fontId="0" fillId="0" borderId="2" xfId="0" applyBorder="1" applyAlignment="1">
      <alignment horizontal="right" vertical="center"/>
    </xf>
    <xf numFmtId="0" fontId="0" fillId="0" borderId="16" xfId="0" applyBorder="1" applyAlignment="1">
      <alignment horizontal="left"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0" fontId="0" fillId="0" borderId="14" xfId="0" applyBorder="1" applyAlignment="1">
      <alignment horizontal="center" vertical="center"/>
    </xf>
    <xf numFmtId="0" fontId="0" fillId="0" borderId="17"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38" fontId="0" fillId="0" borderId="27" xfId="1" applyFont="1" applyBorder="1" applyAlignment="1">
      <alignment horizontal="right" vertical="center"/>
    </xf>
    <xf numFmtId="38" fontId="0" fillId="0" borderId="29" xfId="1" applyFont="1" applyBorder="1" applyAlignment="1">
      <alignment horizontal="right" vertical="center"/>
    </xf>
    <xf numFmtId="38" fontId="0" fillId="0" borderId="17" xfId="1" applyFont="1" applyBorder="1" applyAlignment="1">
      <alignment horizontal="right"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7" xfId="0" applyBorder="1" applyAlignment="1">
      <alignment horizontal="center" vertical="center"/>
    </xf>
    <xf numFmtId="38" fontId="0" fillId="0" borderId="8" xfId="1" applyFont="1" applyBorder="1" applyAlignment="1">
      <alignment horizontal="right" vertical="center"/>
    </xf>
    <xf numFmtId="38" fontId="0" fillId="0" borderId="13" xfId="1" applyFont="1" applyBorder="1" applyAlignment="1">
      <alignment horizontal="right" vertical="center"/>
    </xf>
    <xf numFmtId="0" fontId="0" fillId="0" borderId="2" xfId="0" applyBorder="1" applyAlignment="1">
      <alignment horizontal="center" vertical="center"/>
    </xf>
    <xf numFmtId="38" fontId="0" fillId="0" borderId="1" xfId="1" applyFont="1" applyBorder="1" applyAlignment="1">
      <alignment horizontal="right" vertical="center"/>
    </xf>
    <xf numFmtId="38" fontId="0" fillId="0" borderId="22" xfId="1" applyFont="1" applyBorder="1" applyAlignment="1">
      <alignment horizontal="right" vertical="center"/>
    </xf>
    <xf numFmtId="38" fontId="0" fillId="0" borderId="24" xfId="1" applyFont="1" applyBorder="1" applyAlignment="1">
      <alignment horizontal="righ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2" xfId="0" applyBorder="1" applyAlignment="1">
      <alignment horizontal="center" vertical="center"/>
    </xf>
    <xf numFmtId="38" fontId="0" fillId="0" borderId="33" xfId="1" applyFont="1" applyBorder="1" applyAlignment="1">
      <alignment horizontal="right" vertical="center"/>
    </xf>
    <xf numFmtId="38" fontId="0" fillId="0" borderId="35" xfId="1" applyFont="1" applyBorder="1" applyAlignment="1">
      <alignment horizontal="right" vertical="center"/>
    </xf>
    <xf numFmtId="0" fontId="0" fillId="4" borderId="37" xfId="0" applyFill="1" applyBorder="1" applyAlignment="1">
      <alignment horizontal="center" vertical="center"/>
    </xf>
    <xf numFmtId="0" fontId="0" fillId="4" borderId="38" xfId="0" applyFill="1" applyBorder="1" applyAlignment="1">
      <alignment horizontal="center" vertical="center"/>
    </xf>
    <xf numFmtId="0" fontId="0" fillId="4" borderId="36" xfId="0" applyFill="1" applyBorder="1" applyAlignment="1">
      <alignment horizontal="center" vertical="center"/>
    </xf>
    <xf numFmtId="38" fontId="0" fillId="0" borderId="37" xfId="1" applyFont="1" applyBorder="1" applyAlignment="1">
      <alignment horizontal="right" vertical="center"/>
    </xf>
    <xf numFmtId="38" fontId="0" fillId="0" borderId="39" xfId="1" applyFont="1" applyBorder="1" applyAlignment="1">
      <alignment horizontal="right" vertical="center"/>
    </xf>
    <xf numFmtId="0" fontId="0" fillId="4" borderId="41" xfId="0" applyFill="1" applyBorder="1" applyAlignment="1">
      <alignment horizontal="center" vertical="center"/>
    </xf>
    <xf numFmtId="0" fontId="0" fillId="4" borderId="42" xfId="0" applyFill="1" applyBorder="1" applyAlignment="1">
      <alignment horizontal="center" vertical="center"/>
    </xf>
    <xf numFmtId="0" fontId="0" fillId="0" borderId="1" xfId="0" applyBorder="1" applyAlignment="1">
      <alignment horizontal="right" vertical="center"/>
    </xf>
    <xf numFmtId="0" fontId="0" fillId="4" borderId="43" xfId="0" applyFill="1" applyBorder="1" applyAlignment="1">
      <alignment horizontal="center" vertical="center"/>
    </xf>
    <xf numFmtId="0" fontId="0" fillId="4" borderId="44" xfId="0" applyFill="1" applyBorder="1" applyAlignment="1">
      <alignment horizontal="center" vertical="center"/>
    </xf>
    <xf numFmtId="0" fontId="0" fillId="0" borderId="4" xfId="0" applyBorder="1" applyAlignment="1">
      <alignment horizontal="center" vertical="center"/>
    </xf>
    <xf numFmtId="0" fontId="0" fillId="0" borderId="46" xfId="0"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4" borderId="47" xfId="0" applyFill="1" applyBorder="1" applyAlignment="1">
      <alignment horizontal="center" vertical="center"/>
    </xf>
    <xf numFmtId="38" fontId="0" fillId="0" borderId="11" xfId="1" applyFont="1" applyBorder="1" applyAlignment="1">
      <alignment horizontal="right" vertical="center"/>
    </xf>
    <xf numFmtId="0" fontId="0" fillId="4" borderId="48" xfId="0" applyFill="1" applyBorder="1" applyAlignment="1">
      <alignment horizontal="center" vertical="center"/>
    </xf>
    <xf numFmtId="0" fontId="0" fillId="4" borderId="49" xfId="0" applyFill="1" applyBorder="1" applyAlignment="1">
      <alignment horizontal="center" vertical="center"/>
    </xf>
    <xf numFmtId="0" fontId="0" fillId="4" borderId="51" xfId="0" applyFill="1" applyBorder="1" applyAlignment="1">
      <alignment horizontal="center" vertical="center"/>
    </xf>
    <xf numFmtId="0" fontId="0" fillId="3" borderId="2" xfId="0" applyFill="1" applyBorder="1" applyAlignment="1">
      <alignment horizontal="center" vertical="center"/>
    </xf>
    <xf numFmtId="0" fontId="0" fillId="3" borderId="23" xfId="0" applyFill="1" applyBorder="1" applyAlignment="1">
      <alignment horizontal="center" vertical="center"/>
    </xf>
    <xf numFmtId="0" fontId="0" fillId="0" borderId="54" xfId="0" applyBorder="1" applyAlignment="1">
      <alignment horizontal="center" vertical="center"/>
    </xf>
    <xf numFmtId="38" fontId="0" fillId="0" borderId="19" xfId="1" applyFont="1" applyBorder="1" applyAlignment="1">
      <alignment horizontal="right" vertical="center"/>
    </xf>
    <xf numFmtId="38" fontId="0" fillId="0" borderId="20" xfId="1" applyFont="1" applyBorder="1" applyAlignment="1">
      <alignment horizontal="right" vertical="center"/>
    </xf>
    <xf numFmtId="0" fontId="0" fillId="0" borderId="22" xfId="0" applyBorder="1" applyAlignment="1">
      <alignment horizontal="right" vertical="center"/>
    </xf>
    <xf numFmtId="0" fontId="7" fillId="0" borderId="0" xfId="0" applyFont="1" applyAlignment="1">
      <alignment vertical="center"/>
    </xf>
    <xf numFmtId="0" fontId="8" fillId="0" borderId="0" xfId="0" applyFont="1" applyAlignment="1">
      <alignment vertical="center"/>
    </xf>
    <xf numFmtId="0" fontId="0" fillId="0" borderId="0" xfId="0" applyAlignment="1">
      <alignment horizontal="right" vertical="center"/>
    </xf>
    <xf numFmtId="0" fontId="0" fillId="0" borderId="3" xfId="0" applyBorder="1" applyAlignment="1">
      <alignment horizontal="center" vertical="center"/>
    </xf>
    <xf numFmtId="176" fontId="0" fillId="0" borderId="3" xfId="0" applyNumberFormat="1" applyBorder="1" applyAlignment="1">
      <alignment horizontal="center" vertical="center"/>
    </xf>
    <xf numFmtId="0" fontId="0" fillId="0" borderId="3" xfId="0" quotePrefix="1" applyBorder="1" applyAlignment="1">
      <alignment horizontal="center" vertical="center"/>
    </xf>
    <xf numFmtId="0" fontId="0" fillId="0" borderId="0" xfId="0" quotePrefix="1" applyAlignment="1">
      <alignment vertical="center"/>
    </xf>
    <xf numFmtId="0" fontId="5" fillId="0" borderId="0" xfId="0" applyFont="1" applyAlignment="1">
      <alignment vertical="center"/>
    </xf>
    <xf numFmtId="0" fontId="6" fillId="0" borderId="1" xfId="0" applyFont="1" applyBorder="1" applyAlignment="1">
      <alignment vertical="center"/>
    </xf>
    <xf numFmtId="0" fontId="12" fillId="5" borderId="0" xfId="0" applyFont="1" applyFill="1" applyAlignment="1">
      <alignment vertical="center"/>
    </xf>
    <xf numFmtId="0" fontId="6" fillId="5" borderId="0" xfId="0" applyFont="1" applyFill="1" applyAlignment="1">
      <alignment vertical="center"/>
    </xf>
    <xf numFmtId="0" fontId="6" fillId="5" borderId="1" xfId="0" applyFont="1" applyFill="1" applyBorder="1" applyAlignment="1">
      <alignment horizontal="center" vertical="center"/>
    </xf>
    <xf numFmtId="0" fontId="6" fillId="5" borderId="2" xfId="0" applyFont="1" applyFill="1" applyBorder="1" applyAlignment="1">
      <alignment horizontal="center" vertical="center"/>
    </xf>
    <xf numFmtId="0" fontId="6" fillId="3" borderId="25"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1" xfId="0" applyFont="1" applyFill="1" applyBorder="1" applyAlignment="1">
      <alignment vertical="center"/>
    </xf>
    <xf numFmtId="177" fontId="6" fillId="5" borderId="1" xfId="1" applyNumberFormat="1" applyFont="1" applyFill="1" applyBorder="1">
      <alignment vertical="center"/>
    </xf>
    <xf numFmtId="177" fontId="6" fillId="5" borderId="2" xfId="1" applyNumberFormat="1" applyFont="1" applyFill="1" applyBorder="1">
      <alignment vertical="center"/>
    </xf>
    <xf numFmtId="177" fontId="6" fillId="5" borderId="4" xfId="1" applyNumberFormat="1" applyFont="1" applyFill="1" applyBorder="1">
      <alignment vertical="center"/>
    </xf>
    <xf numFmtId="177" fontId="5" fillId="0" borderId="1" xfId="0" applyNumberFormat="1" applyFont="1" applyBorder="1" applyAlignment="1">
      <alignment vertical="center"/>
    </xf>
    <xf numFmtId="177" fontId="5" fillId="3" borderId="1" xfId="0" applyNumberFormat="1" applyFont="1" applyFill="1" applyBorder="1" applyAlignment="1">
      <alignment vertical="center"/>
    </xf>
    <xf numFmtId="0" fontId="6" fillId="0" borderId="0" xfId="0" applyFont="1" applyAlignment="1">
      <alignment vertical="center"/>
    </xf>
    <xf numFmtId="0" fontId="6" fillId="0" borderId="0" xfId="0" applyFont="1"/>
    <xf numFmtId="177" fontId="6" fillId="0" borderId="1" xfId="1" applyNumberFormat="1" applyFont="1" applyBorder="1">
      <alignment vertical="center"/>
    </xf>
    <xf numFmtId="0" fontId="5" fillId="5" borderId="0" xfId="0" applyFont="1" applyFill="1" applyAlignment="1">
      <alignment vertical="center"/>
    </xf>
    <xf numFmtId="0" fontId="0" fillId="0" borderId="1" xfId="0" applyBorder="1"/>
    <xf numFmtId="38" fontId="0" fillId="0" borderId="57" xfId="1" applyFont="1" applyBorder="1" applyAlignment="1">
      <alignment horizontal="right" vertical="center"/>
    </xf>
    <xf numFmtId="38" fontId="0" fillId="0" borderId="53" xfId="1" applyFont="1" applyBorder="1" applyAlignment="1">
      <alignment horizontal="right" vertical="center"/>
    </xf>
    <xf numFmtId="0" fontId="0" fillId="0" borderId="57" xfId="0" applyBorder="1" applyAlignment="1">
      <alignment horizontal="right" vertical="center"/>
    </xf>
    <xf numFmtId="0" fontId="0" fillId="0" borderId="8" xfId="0" applyBorder="1" applyAlignment="1">
      <alignment horizontal="right" vertical="center"/>
    </xf>
    <xf numFmtId="177" fontId="0" fillId="0" borderId="8" xfId="1" applyNumberFormat="1" applyFont="1" applyBorder="1" applyAlignment="1">
      <alignment horizontal="right" vertical="center"/>
    </xf>
    <xf numFmtId="177" fontId="0" fillId="0" borderId="1" xfId="1" applyNumberFormat="1" applyFont="1" applyBorder="1" applyAlignment="1">
      <alignment horizontal="right" vertical="center"/>
    </xf>
    <xf numFmtId="177" fontId="0" fillId="0" borderId="57" xfId="1" applyNumberFormat="1" applyFont="1" applyBorder="1" applyAlignment="1">
      <alignment horizontal="right" vertical="center"/>
    </xf>
    <xf numFmtId="0" fontId="0" fillId="0" borderId="56" xfId="0" applyBorder="1" applyAlignment="1">
      <alignment horizontal="center" vertical="center"/>
    </xf>
    <xf numFmtId="0" fontId="15" fillId="0" borderId="51" xfId="0" applyFont="1" applyBorder="1" applyAlignment="1">
      <alignment horizontal="center" vertical="center"/>
    </xf>
    <xf numFmtId="0" fontId="15" fillId="0" borderId="60" xfId="0" applyFont="1" applyBorder="1" applyAlignment="1">
      <alignment horizontal="right" vertical="center"/>
    </xf>
    <xf numFmtId="0" fontId="15" fillId="0" borderId="46" xfId="0" applyFont="1" applyBorder="1" applyAlignment="1">
      <alignment horizontal="left" vertical="center"/>
    </xf>
    <xf numFmtId="0" fontId="15" fillId="0" borderId="23" xfId="0" applyFont="1" applyBorder="1" applyAlignment="1">
      <alignment horizontal="right" vertical="center"/>
    </xf>
    <xf numFmtId="0" fontId="15" fillId="0" borderId="61" xfId="0" applyFont="1" applyBorder="1" applyAlignment="1">
      <alignment horizontal="left" vertical="center"/>
    </xf>
    <xf numFmtId="0" fontId="0" fillId="0" borderId="33" xfId="0" applyBorder="1" applyAlignment="1">
      <alignment horizontal="right" vertical="center"/>
    </xf>
    <xf numFmtId="177" fontId="0" fillId="0" borderId="33" xfId="1" applyNumberFormat="1" applyFont="1" applyBorder="1" applyAlignment="1">
      <alignment horizontal="right" vertical="center"/>
    </xf>
    <xf numFmtId="0" fontId="0" fillId="4" borderId="26" xfId="0" applyFill="1" applyBorder="1" applyAlignment="1">
      <alignment horizontal="center" vertical="center"/>
    </xf>
    <xf numFmtId="0" fontId="0" fillId="4" borderId="27" xfId="0" applyFill="1" applyBorder="1" applyAlignment="1">
      <alignment horizontal="center" vertical="center"/>
    </xf>
    <xf numFmtId="38" fontId="0" fillId="4" borderId="27" xfId="1" applyFont="1" applyFill="1"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5" fillId="0" borderId="0" xfId="0" applyFont="1"/>
    <xf numFmtId="0" fontId="6" fillId="0" borderId="1" xfId="0" applyFont="1" applyBorder="1"/>
    <xf numFmtId="0" fontId="6" fillId="0" borderId="2" xfId="0" applyFont="1" applyBorder="1"/>
    <xf numFmtId="0" fontId="6" fillId="3" borderId="25" xfId="0" applyFont="1" applyFill="1" applyBorder="1"/>
    <xf numFmtId="0" fontId="6" fillId="0" borderId="4" xfId="0" applyFont="1" applyBorder="1"/>
    <xf numFmtId="0" fontId="6" fillId="3" borderId="30" xfId="0" applyFont="1" applyFill="1" applyBorder="1"/>
    <xf numFmtId="38" fontId="6" fillId="0" borderId="1" xfId="1" applyFont="1" applyBorder="1" applyAlignment="1"/>
    <xf numFmtId="0" fontId="5" fillId="0" borderId="1" xfId="0" applyFont="1" applyBorder="1"/>
    <xf numFmtId="38" fontId="6" fillId="0" borderId="2" xfId="1" applyFont="1" applyBorder="1" applyAlignment="1"/>
    <xf numFmtId="38" fontId="6" fillId="0" borderId="4" xfId="1" applyFont="1" applyBorder="1" applyAlignment="1"/>
    <xf numFmtId="38" fontId="6" fillId="3" borderId="31" xfId="1" applyFont="1" applyFill="1" applyBorder="1" applyAlignment="1"/>
    <xf numFmtId="38" fontId="0" fillId="0" borderId="1" xfId="1" applyFont="1" applyBorder="1" applyAlignment="1"/>
    <xf numFmtId="0" fontId="6" fillId="6" borderId="1" xfId="0" applyFont="1" applyFill="1" applyBorder="1"/>
    <xf numFmtId="38" fontId="0" fillId="6" borderId="1" xfId="1" applyFont="1" applyFill="1" applyBorder="1" applyAlignment="1"/>
    <xf numFmtId="0" fontId="0" fillId="0" borderId="37" xfId="0" applyBorder="1" applyAlignment="1">
      <alignment horizontal="center" vertical="center"/>
    </xf>
    <xf numFmtId="0" fontId="0" fillId="0" borderId="62" xfId="0" applyBorder="1" applyAlignment="1">
      <alignment vertical="center"/>
    </xf>
    <xf numFmtId="0" fontId="6" fillId="5" borderId="2" xfId="0" applyFont="1" applyFill="1" applyBorder="1" applyAlignment="1">
      <alignment vertical="center"/>
    </xf>
    <xf numFmtId="0" fontId="6" fillId="5" borderId="4" xfId="0" applyFont="1" applyFill="1" applyBorder="1" applyAlignment="1">
      <alignment vertical="center"/>
    </xf>
    <xf numFmtId="0" fontId="6" fillId="3" borderId="25" xfId="0" applyFont="1" applyFill="1" applyBorder="1" applyAlignment="1">
      <alignment vertical="center"/>
    </xf>
    <xf numFmtId="0" fontId="6" fillId="2" borderId="1" xfId="0" applyFont="1" applyFill="1" applyBorder="1" applyAlignment="1">
      <alignment vertical="center"/>
    </xf>
    <xf numFmtId="0" fontId="6" fillId="2" borderId="1" xfId="0" applyFont="1" applyFill="1" applyBorder="1" applyAlignment="1">
      <alignment horizontal="center" vertical="center"/>
    </xf>
    <xf numFmtId="0" fontId="0" fillId="0" borderId="64" xfId="0" applyBorder="1" applyAlignment="1">
      <alignment horizontal="center" vertical="center"/>
    </xf>
    <xf numFmtId="0" fontId="0" fillId="0" borderId="63" xfId="0" applyBorder="1" applyAlignment="1">
      <alignment horizontal="center" vertical="center"/>
    </xf>
    <xf numFmtId="0" fontId="0" fillId="0" borderId="65" xfId="0" applyBorder="1" applyAlignment="1">
      <alignment horizontal="center" vertical="center"/>
    </xf>
    <xf numFmtId="0" fontId="0" fillId="4" borderId="66"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76" fontId="0" fillId="0" borderId="51" xfId="0" applyNumberFormat="1" applyBorder="1" applyAlignment="1">
      <alignment horizontal="center" vertical="center"/>
    </xf>
    <xf numFmtId="0" fontId="7" fillId="0" borderId="1" xfId="0" applyFont="1" applyBorder="1" applyAlignment="1">
      <alignment vertical="center"/>
    </xf>
    <xf numFmtId="0" fontId="7" fillId="0" borderId="2" xfId="0" applyFont="1" applyBorder="1" applyAlignment="1">
      <alignment horizontal="left" vertical="center"/>
    </xf>
    <xf numFmtId="0" fontId="7" fillId="0" borderId="4" xfId="0" applyFont="1" applyBorder="1" applyAlignment="1">
      <alignment vertical="center"/>
    </xf>
    <xf numFmtId="40" fontId="0" fillId="0" borderId="28" xfId="1" applyNumberFormat="1" applyFont="1" applyBorder="1" applyAlignment="1">
      <alignment horizontal="center" vertical="center"/>
    </xf>
    <xf numFmtId="178" fontId="0" fillId="0" borderId="1" xfId="1" applyNumberFormat="1" applyFont="1" applyBorder="1">
      <alignment vertical="center"/>
    </xf>
    <xf numFmtId="180" fontId="0" fillId="0" borderId="1" xfId="0" applyNumberFormat="1" applyBorder="1" applyAlignment="1">
      <alignment vertical="center"/>
    </xf>
    <xf numFmtId="0" fontId="16" fillId="0" borderId="0" xfId="0" applyFont="1" applyAlignment="1">
      <alignment vertical="center"/>
    </xf>
    <xf numFmtId="0" fontId="0" fillId="0" borderId="6" xfId="0" applyBorder="1" applyAlignment="1">
      <alignment vertical="center"/>
    </xf>
    <xf numFmtId="0" fontId="0" fillId="3" borderId="17" xfId="0" applyFill="1" applyBorder="1" applyAlignment="1">
      <alignment vertical="center"/>
    </xf>
    <xf numFmtId="0" fontId="0" fillId="3" borderId="24" xfId="0" applyFill="1" applyBorder="1" applyAlignment="1">
      <alignment vertical="center"/>
    </xf>
    <xf numFmtId="0" fontId="0" fillId="3" borderId="55" xfId="0" applyFill="1" applyBorder="1" applyAlignment="1">
      <alignment horizontal="center" vertical="center"/>
    </xf>
    <xf numFmtId="0" fontId="0" fillId="3" borderId="20" xfId="0" applyFill="1" applyBorder="1" applyAlignment="1">
      <alignment vertical="center"/>
    </xf>
    <xf numFmtId="0" fontId="0" fillId="0" borderId="39" xfId="0" applyBorder="1" applyAlignment="1">
      <alignment horizontal="center" vertical="center"/>
    </xf>
    <xf numFmtId="40" fontId="0" fillId="0" borderId="13" xfId="1" applyNumberFormat="1" applyFont="1" applyBorder="1" applyAlignment="1">
      <alignment horizontal="center" vertical="center"/>
    </xf>
    <xf numFmtId="40" fontId="0" fillId="0" borderId="17" xfId="1" applyNumberFormat="1" applyFont="1" applyBorder="1" applyAlignment="1">
      <alignment horizontal="center" vertical="center"/>
    </xf>
    <xf numFmtId="40" fontId="0" fillId="0" borderId="24" xfId="1" applyNumberFormat="1" applyFont="1" applyBorder="1" applyAlignment="1">
      <alignment horizontal="center" vertical="center"/>
    </xf>
    <xf numFmtId="0" fontId="0" fillId="0" borderId="13" xfId="0" applyBorder="1" applyAlignment="1">
      <alignment horizontal="center" vertical="center"/>
    </xf>
    <xf numFmtId="2" fontId="0" fillId="0" borderId="2" xfId="0" applyNumberFormat="1" applyBorder="1" applyAlignment="1">
      <alignment vertical="center"/>
    </xf>
    <xf numFmtId="0" fontId="0" fillId="3" borderId="2" xfId="0" applyFill="1" applyBorder="1" applyAlignment="1">
      <alignment vertical="center"/>
    </xf>
    <xf numFmtId="0" fontId="6" fillId="0" borderId="2" xfId="0" applyFont="1" applyBorder="1" applyAlignment="1">
      <alignment vertical="center"/>
    </xf>
    <xf numFmtId="177" fontId="6" fillId="0" borderId="2" xfId="1" applyNumberFormat="1" applyFont="1" applyBorder="1">
      <alignment vertical="center"/>
    </xf>
    <xf numFmtId="0" fontId="6" fillId="0" borderId="4" xfId="0" applyFont="1" applyBorder="1" applyAlignment="1">
      <alignment vertical="center"/>
    </xf>
    <xf numFmtId="177" fontId="6" fillId="0" borderId="4" xfId="1" applyNumberFormat="1" applyFont="1" applyBorder="1">
      <alignment vertical="center"/>
    </xf>
    <xf numFmtId="0" fontId="6" fillId="0" borderId="25" xfId="0" applyFont="1" applyBorder="1" applyAlignment="1">
      <alignment vertical="center"/>
    </xf>
    <xf numFmtId="0" fontId="6" fillId="0" borderId="33" xfId="0" applyFont="1" applyBorder="1" applyAlignment="1">
      <alignment vertical="center"/>
    </xf>
    <xf numFmtId="0" fontId="6" fillId="2" borderId="33" xfId="0" applyFont="1" applyFill="1" applyBorder="1" applyAlignment="1">
      <alignment vertical="center"/>
    </xf>
    <xf numFmtId="177" fontId="6" fillId="0" borderId="33" xfId="1" applyNumberFormat="1" applyFont="1" applyBorder="1">
      <alignment vertical="center"/>
    </xf>
    <xf numFmtId="177" fontId="6" fillId="0" borderId="34" xfId="1" applyNumberFormat="1" applyFont="1" applyBorder="1">
      <alignment vertical="center"/>
    </xf>
    <xf numFmtId="177" fontId="6" fillId="0" borderId="68" xfId="1" applyNumberFormat="1" applyFont="1" applyBorder="1">
      <alignment vertical="center"/>
    </xf>
    <xf numFmtId="177" fontId="6" fillId="0" borderId="56" xfId="1" applyNumberFormat="1" applyFont="1" applyBorder="1">
      <alignment vertical="center"/>
    </xf>
    <xf numFmtId="0" fontId="6" fillId="0" borderId="19" xfId="0" applyFont="1" applyBorder="1" applyAlignment="1">
      <alignment vertical="center"/>
    </xf>
    <xf numFmtId="0" fontId="6" fillId="2" borderId="19" xfId="0" applyFont="1" applyFill="1" applyBorder="1" applyAlignment="1">
      <alignment vertical="center"/>
    </xf>
    <xf numFmtId="177" fontId="6" fillId="0" borderId="19" xfId="1" applyNumberFormat="1" applyFont="1" applyBorder="1">
      <alignment vertical="center"/>
    </xf>
    <xf numFmtId="177" fontId="6" fillId="0" borderId="55" xfId="1" applyNumberFormat="1" applyFont="1" applyBorder="1">
      <alignment vertical="center"/>
    </xf>
    <xf numFmtId="177" fontId="6" fillId="0" borderId="69" xfId="1" applyNumberFormat="1" applyFont="1" applyBorder="1">
      <alignment vertical="center"/>
    </xf>
    <xf numFmtId="177" fontId="6" fillId="0" borderId="54" xfId="1" applyNumberFormat="1" applyFont="1" applyBorder="1">
      <alignment vertical="center"/>
    </xf>
    <xf numFmtId="0" fontId="6" fillId="0" borderId="36" xfId="0" applyFont="1" applyBorder="1" applyAlignment="1">
      <alignment vertical="center"/>
    </xf>
    <xf numFmtId="0" fontId="6" fillId="2" borderId="37" xfId="0" applyFont="1" applyFill="1" applyBorder="1" applyAlignment="1">
      <alignment vertical="center"/>
    </xf>
    <xf numFmtId="177" fontId="6" fillId="0" borderId="37" xfId="1" applyNumberFormat="1" applyFont="1" applyBorder="1">
      <alignment vertical="center"/>
    </xf>
    <xf numFmtId="177" fontId="6" fillId="0" borderId="38" xfId="1" applyNumberFormat="1" applyFont="1" applyBorder="1">
      <alignment vertical="center"/>
    </xf>
    <xf numFmtId="177" fontId="6" fillId="0" borderId="67" xfId="1" applyNumberFormat="1" applyFont="1" applyBorder="1">
      <alignment vertical="center"/>
    </xf>
    <xf numFmtId="177" fontId="6" fillId="0" borderId="52" xfId="1" applyNumberFormat="1" applyFont="1" applyBorder="1">
      <alignment vertical="center"/>
    </xf>
    <xf numFmtId="0" fontId="6" fillId="2" borderId="39" xfId="0" applyFont="1" applyFill="1" applyBorder="1" applyAlignment="1">
      <alignment vertical="center"/>
    </xf>
    <xf numFmtId="0" fontId="6" fillId="5" borderId="33" xfId="0" applyFont="1" applyFill="1" applyBorder="1" applyAlignment="1">
      <alignment vertical="center"/>
    </xf>
    <xf numFmtId="177" fontId="6" fillId="5" borderId="33" xfId="1" applyNumberFormat="1" applyFont="1" applyFill="1" applyBorder="1">
      <alignment vertical="center"/>
    </xf>
    <xf numFmtId="177" fontId="6" fillId="5" borderId="34" xfId="1" applyNumberFormat="1" applyFont="1" applyFill="1" applyBorder="1">
      <alignment vertical="center"/>
    </xf>
    <xf numFmtId="177" fontId="6" fillId="5" borderId="56" xfId="1" applyNumberFormat="1" applyFont="1" applyFill="1" applyBorder="1">
      <alignment vertical="center"/>
    </xf>
    <xf numFmtId="0" fontId="6" fillId="5" borderId="19" xfId="0" applyFont="1" applyFill="1" applyBorder="1" applyAlignment="1">
      <alignment vertical="center"/>
    </xf>
    <xf numFmtId="177" fontId="6" fillId="5" borderId="19" xfId="1" applyNumberFormat="1" applyFont="1" applyFill="1" applyBorder="1">
      <alignment vertical="center"/>
    </xf>
    <xf numFmtId="177" fontId="6" fillId="5" borderId="55" xfId="1" applyNumberFormat="1" applyFont="1" applyFill="1" applyBorder="1">
      <alignment vertical="center"/>
    </xf>
    <xf numFmtId="177" fontId="6" fillId="5" borderId="54" xfId="1" applyNumberFormat="1" applyFont="1" applyFill="1" applyBorder="1">
      <alignment vertical="center"/>
    </xf>
    <xf numFmtId="0" fontId="6" fillId="5" borderId="36" xfId="0" applyFont="1" applyFill="1" applyBorder="1" applyAlignment="1">
      <alignment vertical="center"/>
    </xf>
    <xf numFmtId="177" fontId="6" fillId="5" borderId="37" xfId="1" applyNumberFormat="1" applyFont="1" applyFill="1" applyBorder="1">
      <alignment vertical="center"/>
    </xf>
    <xf numFmtId="177" fontId="6" fillId="5" borderId="38" xfId="1" applyNumberFormat="1" applyFont="1" applyFill="1" applyBorder="1">
      <alignment vertical="center"/>
    </xf>
    <xf numFmtId="177" fontId="6" fillId="5" borderId="52" xfId="1" applyNumberFormat="1" applyFont="1" applyFill="1" applyBorder="1">
      <alignment vertical="center"/>
    </xf>
    <xf numFmtId="0" fontId="6" fillId="0" borderId="37" xfId="0" applyFont="1" applyBorder="1" applyAlignment="1">
      <alignment vertical="center"/>
    </xf>
    <xf numFmtId="40" fontId="0" fillId="3" borderId="3" xfId="1" applyNumberFormat="1" applyFont="1" applyFill="1" applyBorder="1">
      <alignment vertical="center"/>
    </xf>
    <xf numFmtId="40" fontId="0" fillId="0" borderId="28" xfId="0" applyNumberFormat="1" applyBorder="1" applyAlignment="1">
      <alignment horizontal="center" vertical="center"/>
    </xf>
    <xf numFmtId="40" fontId="0" fillId="0" borderId="13" xfId="0" applyNumberFormat="1" applyBorder="1" applyAlignment="1">
      <alignment horizontal="center" vertical="center"/>
    </xf>
    <xf numFmtId="40" fontId="0" fillId="0" borderId="17" xfId="0" applyNumberFormat="1" applyBorder="1" applyAlignment="1">
      <alignment horizontal="center" vertical="center"/>
    </xf>
    <xf numFmtId="40" fontId="0" fillId="0" borderId="24" xfId="0" applyNumberFormat="1" applyBorder="1" applyAlignment="1">
      <alignment horizontal="center" vertical="center"/>
    </xf>
    <xf numFmtId="0" fontId="6" fillId="0" borderId="36" xfId="0" applyFont="1" applyBorder="1" applyAlignment="1">
      <alignment horizontal="center" vertical="center"/>
    </xf>
    <xf numFmtId="0" fontId="6" fillId="0" borderId="37" xfId="0" applyFont="1" applyBorder="1" applyAlignment="1">
      <alignment horizontal="center" vertical="center"/>
    </xf>
    <xf numFmtId="0" fontId="6" fillId="0" borderId="39" xfId="0" applyFont="1" applyBorder="1" applyAlignment="1">
      <alignment horizontal="center" vertical="center"/>
    </xf>
    <xf numFmtId="0" fontId="6" fillId="0" borderId="19" xfId="0" applyFont="1" applyBorder="1" applyAlignment="1">
      <alignment horizontal="center" vertical="center"/>
    </xf>
    <xf numFmtId="0" fontId="6" fillId="3" borderId="20" xfId="0" applyFont="1" applyFill="1" applyBorder="1" applyAlignment="1">
      <alignment horizontal="center" vertical="center"/>
    </xf>
    <xf numFmtId="0" fontId="18" fillId="0" borderId="1" xfId="0" applyFont="1" applyBorder="1" applyAlignment="1">
      <alignment horizontal="center" vertical="center"/>
    </xf>
    <xf numFmtId="0" fontId="18" fillId="3" borderId="17" xfId="0" applyFont="1" applyFill="1" applyBorder="1" applyAlignment="1">
      <alignment horizontal="center" vertical="center"/>
    </xf>
    <xf numFmtId="0" fontId="18" fillId="0" borderId="0" xfId="0" applyFont="1" applyAlignment="1">
      <alignment vertical="center"/>
    </xf>
    <xf numFmtId="0" fontId="6" fillId="3" borderId="17" xfId="0" applyFont="1" applyFill="1" applyBorder="1" applyAlignment="1">
      <alignment horizontal="center" vertical="center"/>
    </xf>
    <xf numFmtId="0" fontId="6" fillId="0" borderId="22" xfId="0" applyFont="1" applyBorder="1" applyAlignment="1">
      <alignment horizontal="center" vertical="center"/>
    </xf>
    <xf numFmtId="0" fontId="6" fillId="3" borderId="24" xfId="0" applyFont="1" applyFill="1" applyBorder="1" applyAlignment="1">
      <alignment horizontal="center" vertical="center"/>
    </xf>
    <xf numFmtId="0" fontId="6" fillId="3" borderId="55" xfId="0" applyFont="1" applyFill="1" applyBorder="1" applyAlignment="1">
      <alignment horizontal="center" vertical="center"/>
    </xf>
    <xf numFmtId="0" fontId="6" fillId="3" borderId="20" xfId="0" applyFont="1" applyFill="1" applyBorder="1" applyAlignment="1">
      <alignment vertical="center"/>
    </xf>
    <xf numFmtId="0" fontId="6" fillId="3" borderId="2" xfId="0" applyFont="1" applyFill="1" applyBorder="1" applyAlignment="1">
      <alignment horizontal="center" vertical="center"/>
    </xf>
    <xf numFmtId="0" fontId="6" fillId="3" borderId="17" xfId="0" applyFont="1" applyFill="1" applyBorder="1" applyAlignment="1">
      <alignment vertical="center"/>
    </xf>
    <xf numFmtId="0" fontId="18" fillId="3" borderId="2" xfId="0" applyFont="1" applyFill="1" applyBorder="1" applyAlignment="1">
      <alignment horizontal="center" vertical="center"/>
    </xf>
    <xf numFmtId="0" fontId="18" fillId="3" borderId="17" xfId="0" applyFont="1" applyFill="1" applyBorder="1" applyAlignment="1">
      <alignment vertical="center"/>
    </xf>
    <xf numFmtId="0" fontId="6" fillId="3" borderId="23" xfId="0" applyFont="1" applyFill="1" applyBorder="1" applyAlignment="1">
      <alignment horizontal="center" vertical="center"/>
    </xf>
    <xf numFmtId="0" fontId="6" fillId="3" borderId="24" xfId="0" applyFont="1" applyFill="1" applyBorder="1" applyAlignment="1">
      <alignment vertical="center"/>
    </xf>
    <xf numFmtId="0" fontId="0" fillId="0" borderId="66" xfId="0" applyBorder="1" applyAlignment="1">
      <alignment vertical="center"/>
    </xf>
    <xf numFmtId="0" fontId="0" fillId="0" borderId="42" xfId="0" applyBorder="1" applyAlignment="1">
      <alignment vertical="center"/>
    </xf>
    <xf numFmtId="0" fontId="0" fillId="0" borderId="43" xfId="0" applyBorder="1" applyAlignment="1">
      <alignment vertical="center"/>
    </xf>
    <xf numFmtId="0" fontId="0" fillId="0" borderId="44" xfId="0" applyBorder="1" applyAlignment="1">
      <alignment vertical="center"/>
    </xf>
    <xf numFmtId="0" fontId="0" fillId="0" borderId="48" xfId="0" applyBorder="1" applyAlignment="1">
      <alignment vertical="center"/>
    </xf>
    <xf numFmtId="0" fontId="0" fillId="0" borderId="49" xfId="0" applyBorder="1" applyAlignment="1">
      <alignment vertical="center"/>
    </xf>
    <xf numFmtId="0" fontId="0" fillId="0" borderId="0" xfId="0" applyAlignment="1">
      <alignment horizontal="left" vertical="center" wrapText="1"/>
    </xf>
    <xf numFmtId="0" fontId="10" fillId="0" borderId="0" xfId="0" applyFont="1" applyAlignment="1">
      <alignment vertical="center"/>
    </xf>
    <xf numFmtId="2" fontId="0" fillId="7" borderId="4" xfId="0" applyNumberFormat="1" applyFill="1" applyBorder="1" applyAlignment="1">
      <alignment vertical="center"/>
    </xf>
    <xf numFmtId="0" fontId="0" fillId="0" borderId="3" xfId="0" applyBorder="1" applyAlignment="1">
      <alignment horizontal="right" vertical="center"/>
    </xf>
    <xf numFmtId="0" fontId="0" fillId="0" borderId="0" xfId="0" applyAlignment="1">
      <alignment vertical="center" wrapText="1"/>
    </xf>
    <xf numFmtId="176" fontId="0" fillId="0" borderId="1" xfId="0" applyNumberFormat="1" applyBorder="1" applyAlignment="1">
      <alignment vertical="center"/>
    </xf>
    <xf numFmtId="0" fontId="7" fillId="0" borderId="41" xfId="0" applyFont="1" applyBorder="1" applyAlignment="1">
      <alignment vertical="center"/>
    </xf>
    <xf numFmtId="0" fontId="7" fillId="0" borderId="66" xfId="0" applyFont="1" applyBorder="1" applyAlignment="1">
      <alignment vertical="center"/>
    </xf>
    <xf numFmtId="0" fontId="12" fillId="0" borderId="0" xfId="0" applyFont="1" applyAlignment="1">
      <alignment vertical="center"/>
    </xf>
    <xf numFmtId="0" fontId="19" fillId="0" borderId="0" xfId="0" applyFont="1" applyAlignment="1">
      <alignment vertical="center"/>
    </xf>
    <xf numFmtId="40" fontId="0" fillId="0" borderId="0" xfId="0" applyNumberFormat="1" applyAlignment="1">
      <alignment vertical="center"/>
    </xf>
    <xf numFmtId="179" fontId="6" fillId="0" borderId="1" xfId="1" applyNumberFormat="1" applyFont="1" applyBorder="1">
      <alignment vertical="center"/>
    </xf>
    <xf numFmtId="181" fontId="6" fillId="0" borderId="1" xfId="0" applyNumberFormat="1" applyFont="1" applyBorder="1" applyAlignment="1">
      <alignment vertical="center"/>
    </xf>
    <xf numFmtId="40" fontId="6" fillId="0" borderId="1" xfId="1" applyNumberFormat="1" applyFont="1" applyBorder="1">
      <alignment vertical="center"/>
    </xf>
    <xf numFmtId="0" fontId="0" fillId="3" borderId="3" xfId="0" applyFill="1" applyBorder="1" applyAlignment="1">
      <alignment vertical="center"/>
    </xf>
    <xf numFmtId="40" fontId="0" fillId="3" borderId="1" xfId="0" applyNumberFormat="1" applyFill="1" applyBorder="1" applyAlignment="1">
      <alignment horizontal="center" vertical="center"/>
    </xf>
    <xf numFmtId="0" fontId="0" fillId="0" borderId="17" xfId="0" applyBorder="1" applyAlignment="1">
      <alignment vertical="center"/>
    </xf>
    <xf numFmtId="40" fontId="0" fillId="3" borderId="22" xfId="0" applyNumberFormat="1" applyFill="1" applyBorder="1" applyAlignment="1">
      <alignment horizontal="center" vertical="center"/>
    </xf>
    <xf numFmtId="0" fontId="0" fillId="0" borderId="24" xfId="0" applyBorder="1" applyAlignment="1">
      <alignment vertical="center"/>
    </xf>
    <xf numFmtId="40" fontId="0" fillId="3" borderId="19" xfId="0" applyNumberFormat="1" applyFill="1" applyBorder="1" applyAlignment="1">
      <alignment horizontal="center" vertical="center"/>
    </xf>
    <xf numFmtId="0" fontId="0" fillId="0" borderId="20" xfId="0" applyBorder="1" applyAlignment="1">
      <alignment vertical="center"/>
    </xf>
    <xf numFmtId="0" fontId="0" fillId="3" borderId="22" xfId="0" applyFill="1" applyBorder="1" applyAlignment="1">
      <alignment horizontal="center" vertical="center"/>
    </xf>
    <xf numFmtId="0" fontId="0" fillId="3" borderId="19" xfId="0" applyFill="1" applyBorder="1" applyAlignment="1">
      <alignment horizontal="center" vertical="center"/>
    </xf>
    <xf numFmtId="38" fontId="0" fillId="0" borderId="2" xfId="1" applyFont="1" applyBorder="1">
      <alignment vertical="center"/>
    </xf>
    <xf numFmtId="17" fontId="0" fillId="0" borderId="1" xfId="0" applyNumberFormat="1" applyBorder="1" applyAlignment="1">
      <alignment vertical="center"/>
    </xf>
    <xf numFmtId="38" fontId="0" fillId="8" borderId="1" xfId="1" applyFont="1" applyFill="1" applyBorder="1">
      <alignment vertical="center"/>
    </xf>
    <xf numFmtId="38" fontId="0" fillId="8" borderId="34" xfId="1" applyFont="1" applyFill="1" applyBorder="1">
      <alignment vertical="center"/>
    </xf>
    <xf numFmtId="38" fontId="0" fillId="0" borderId="55" xfId="1" applyFont="1" applyBorder="1">
      <alignment vertical="center"/>
    </xf>
    <xf numFmtId="0" fontId="0" fillId="8" borderId="1" xfId="0" applyFill="1" applyBorder="1" applyAlignment="1">
      <alignment horizontal="center" vertical="center"/>
    </xf>
    <xf numFmtId="180" fontId="0" fillId="8" borderId="1" xfId="0" applyNumberFormat="1" applyFill="1" applyBorder="1" applyAlignment="1">
      <alignment vertical="center"/>
    </xf>
    <xf numFmtId="17" fontId="7" fillId="8" borderId="1" xfId="0" applyNumberFormat="1" applyFont="1" applyFill="1" applyBorder="1" applyAlignment="1">
      <alignment vertical="center"/>
    </xf>
    <xf numFmtId="38" fontId="7" fillId="8" borderId="1" xfId="0" applyNumberFormat="1" applyFont="1" applyFill="1" applyBorder="1" applyAlignment="1">
      <alignment vertical="center"/>
    </xf>
    <xf numFmtId="180" fontId="7" fillId="8" borderId="1" xfId="0" applyNumberFormat="1" applyFont="1" applyFill="1" applyBorder="1" applyAlignment="1">
      <alignment vertical="center"/>
    </xf>
    <xf numFmtId="17" fontId="0" fillId="0" borderId="1" xfId="0" applyNumberFormat="1" applyBorder="1" applyAlignment="1">
      <alignment horizontal="center" vertical="center"/>
    </xf>
    <xf numFmtId="17" fontId="0" fillId="8" borderId="1" xfId="0" applyNumberFormat="1" applyFill="1" applyBorder="1" applyAlignment="1">
      <alignment horizontal="center" vertical="center"/>
    </xf>
    <xf numFmtId="38" fontId="0" fillId="0" borderId="30" xfId="1" applyFont="1" applyBorder="1">
      <alignment vertical="center"/>
    </xf>
    <xf numFmtId="0" fontId="19" fillId="0" borderId="25" xfId="0" applyFont="1" applyBorder="1" applyAlignment="1">
      <alignment horizontal="center" vertical="center"/>
    </xf>
    <xf numFmtId="38" fontId="19" fillId="0" borderId="30" xfId="1" applyFont="1" applyBorder="1">
      <alignment vertical="center"/>
    </xf>
    <xf numFmtId="38" fontId="19" fillId="8" borderId="30" xfId="1" applyFont="1" applyFill="1" applyBorder="1">
      <alignment vertical="center"/>
    </xf>
    <xf numFmtId="38" fontId="19" fillId="0" borderId="67" xfId="1" applyFont="1" applyBorder="1">
      <alignment vertical="center"/>
    </xf>
    <xf numFmtId="38" fontId="19" fillId="0" borderId="31" xfId="1" applyFont="1" applyBorder="1">
      <alignment vertical="center"/>
    </xf>
    <xf numFmtId="38" fontId="0" fillId="0" borderId="67" xfId="1" applyFont="1" applyBorder="1">
      <alignment vertical="center"/>
    </xf>
    <xf numFmtId="0" fontId="0" fillId="0" borderId="19" xfId="0" applyBorder="1"/>
    <xf numFmtId="0" fontId="0" fillId="0" borderId="71" xfId="0" applyBorder="1" applyAlignment="1">
      <alignment horizontal="center"/>
    </xf>
    <xf numFmtId="38" fontId="0" fillId="7" borderId="2" xfId="1" applyFont="1" applyFill="1" applyBorder="1">
      <alignment vertical="center"/>
    </xf>
    <xf numFmtId="0" fontId="5" fillId="0" borderId="1" xfId="0" applyFont="1" applyBorder="1" applyAlignment="1">
      <alignment vertical="center"/>
    </xf>
    <xf numFmtId="0" fontId="0" fillId="0" borderId="1" xfId="0"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38" fontId="0" fillId="0" borderId="3" xfId="0" applyNumberFormat="1" applyBorder="1" applyAlignment="1">
      <alignment vertical="center"/>
    </xf>
    <xf numFmtId="40" fontId="0" fillId="0" borderId="3" xfId="0" applyNumberFormat="1" applyBorder="1" applyAlignment="1">
      <alignment vertical="center"/>
    </xf>
    <xf numFmtId="177" fontId="0" fillId="0" borderId="45" xfId="1" applyNumberFormat="1" applyFont="1" applyBorder="1" applyAlignment="1">
      <alignment horizontal="right" vertical="center"/>
    </xf>
    <xf numFmtId="177" fontId="6" fillId="0" borderId="1" xfId="1" applyNumberFormat="1" applyFont="1" applyBorder="1" applyAlignment="1"/>
    <xf numFmtId="177" fontId="6" fillId="0" borderId="2" xfId="1" applyNumberFormat="1" applyFont="1" applyBorder="1" applyAlignment="1"/>
    <xf numFmtId="177" fontId="6" fillId="3" borderId="30" xfId="1" applyNumberFormat="1" applyFont="1" applyFill="1" applyBorder="1" applyAlignment="1"/>
    <xf numFmtId="177" fontId="6" fillId="3" borderId="31" xfId="1" applyNumberFormat="1" applyFont="1" applyFill="1" applyBorder="1" applyAlignment="1"/>
    <xf numFmtId="0" fontId="6" fillId="0" borderId="3" xfId="0" applyFont="1" applyBorder="1"/>
    <xf numFmtId="177" fontId="6" fillId="0" borderId="4" xfId="1" applyNumberFormat="1" applyFont="1" applyBorder="1" applyAlignment="1"/>
    <xf numFmtId="177" fontId="6" fillId="0" borderId="3" xfId="1" applyNumberFormat="1" applyFont="1" applyBorder="1" applyAlignment="1"/>
    <xf numFmtId="177" fontId="6" fillId="0" borderId="1" xfId="0" applyNumberFormat="1" applyFont="1" applyBorder="1"/>
    <xf numFmtId="176" fontId="0" fillId="0" borderId="1" xfId="0" applyNumberFormat="1" applyBorder="1" applyAlignment="1">
      <alignment horizontal="right" vertical="center"/>
    </xf>
    <xf numFmtId="177" fontId="0" fillId="0" borderId="46" xfId="1" applyNumberFormat="1" applyFont="1" applyBorder="1" applyAlignment="1">
      <alignment horizontal="right" vertical="center"/>
    </xf>
    <xf numFmtId="40" fontId="0" fillId="0" borderId="54" xfId="1" applyNumberFormat="1" applyFont="1" applyBorder="1" applyAlignment="1">
      <alignment horizontal="right" vertical="center"/>
    </xf>
    <xf numFmtId="40" fontId="0" fillId="0" borderId="4" xfId="1" applyNumberFormat="1" applyFont="1" applyBorder="1" applyAlignment="1">
      <alignment horizontal="right" vertical="center"/>
    </xf>
    <xf numFmtId="40" fontId="0" fillId="0" borderId="46" xfId="1" applyNumberFormat="1" applyFont="1" applyBorder="1" applyAlignment="1">
      <alignment horizontal="right" vertical="center"/>
    </xf>
    <xf numFmtId="40" fontId="0" fillId="0" borderId="19" xfId="1" applyNumberFormat="1" applyFont="1" applyBorder="1" applyAlignment="1">
      <alignment horizontal="right" vertical="center"/>
    </xf>
    <xf numFmtId="40" fontId="0" fillId="0" borderId="1" xfId="1" applyNumberFormat="1" applyFont="1" applyBorder="1" applyAlignment="1">
      <alignment horizontal="right" vertical="center"/>
    </xf>
    <xf numFmtId="177" fontId="0" fillId="0" borderId="7" xfId="0" applyNumberFormat="1" applyBorder="1" applyAlignment="1">
      <alignment horizontal="right" vertical="center"/>
    </xf>
    <xf numFmtId="177" fontId="0" fillId="0" borderId="14" xfId="0" applyNumberFormat="1" applyBorder="1" applyAlignment="1">
      <alignment horizontal="right" vertical="center"/>
    </xf>
    <xf numFmtId="177" fontId="0" fillId="0" borderId="21" xfId="0" applyNumberFormat="1" applyBorder="1" applyAlignment="1">
      <alignment horizontal="right" vertical="center"/>
    </xf>
    <xf numFmtId="176" fontId="0" fillId="0" borderId="57" xfId="0" applyNumberFormat="1" applyBorder="1" applyAlignment="1">
      <alignment horizontal="right" vertical="center"/>
    </xf>
    <xf numFmtId="176" fontId="0" fillId="0" borderId="8" xfId="0" applyNumberFormat="1" applyBorder="1" applyAlignment="1">
      <alignment horizontal="right" vertical="center"/>
    </xf>
    <xf numFmtId="176" fontId="0" fillId="0" borderId="22" xfId="0" applyNumberFormat="1" applyBorder="1" applyAlignment="1">
      <alignment horizontal="right" vertical="center"/>
    </xf>
    <xf numFmtId="177" fontId="0" fillId="0" borderId="8" xfId="0" applyNumberFormat="1" applyBorder="1" applyAlignment="1">
      <alignment horizontal="right" vertical="center"/>
    </xf>
    <xf numFmtId="177" fontId="0" fillId="0" borderId="1" xfId="0" applyNumberFormat="1" applyBorder="1" applyAlignment="1">
      <alignment horizontal="right" vertical="center"/>
    </xf>
    <xf numFmtId="177" fontId="0" fillId="0" borderId="22" xfId="0" applyNumberFormat="1" applyBorder="1" applyAlignment="1">
      <alignment horizontal="right" vertical="center"/>
    </xf>
    <xf numFmtId="176" fontId="0" fillId="0" borderId="45" xfId="0" applyNumberFormat="1" applyBorder="1" applyAlignment="1">
      <alignment horizontal="right" vertical="center"/>
    </xf>
    <xf numFmtId="176" fontId="0" fillId="0" borderId="7" xfId="0" applyNumberFormat="1" applyBorder="1" applyAlignment="1">
      <alignment horizontal="right" vertical="center"/>
    </xf>
    <xf numFmtId="176" fontId="0" fillId="0" borderId="14" xfId="0" applyNumberFormat="1" applyBorder="1" applyAlignment="1">
      <alignment horizontal="right" vertical="center"/>
    </xf>
    <xf numFmtId="176" fontId="0" fillId="0" borderId="32" xfId="0" applyNumberFormat="1" applyBorder="1" applyAlignment="1">
      <alignment horizontal="right" vertical="center"/>
    </xf>
    <xf numFmtId="176" fontId="0" fillId="0" borderId="21" xfId="0" applyNumberFormat="1" applyBorder="1" applyAlignment="1">
      <alignment horizontal="right" vertical="center"/>
    </xf>
    <xf numFmtId="0" fontId="42" fillId="10" borderId="0" xfId="0" applyFont="1" applyFill="1" applyAlignment="1">
      <alignment vertical="center"/>
    </xf>
    <xf numFmtId="0" fontId="43" fillId="10" borderId="0" xfId="0" applyFont="1" applyFill="1" applyAlignment="1">
      <alignment vertical="center"/>
    </xf>
    <xf numFmtId="0" fontId="44" fillId="10" borderId="0" xfId="0" applyFont="1" applyFill="1" applyAlignment="1">
      <alignment vertical="center"/>
    </xf>
    <xf numFmtId="0" fontId="45" fillId="10" borderId="0" xfId="0" applyFont="1" applyFill="1" applyAlignment="1">
      <alignment vertical="center"/>
    </xf>
    <xf numFmtId="0" fontId="47" fillId="10" borderId="0" xfId="0" applyFont="1" applyFill="1" applyAlignment="1">
      <alignment vertical="center"/>
    </xf>
    <xf numFmtId="0" fontId="44" fillId="0" borderId="73" xfId="0" applyFont="1" applyFill="1" applyBorder="1" applyAlignment="1" applyProtection="1">
      <alignment vertical="center"/>
      <protection locked="0"/>
    </xf>
    <xf numFmtId="0" fontId="44" fillId="0" borderId="74" xfId="0" applyFont="1" applyFill="1" applyBorder="1" applyAlignment="1" applyProtection="1">
      <alignment vertical="center"/>
      <protection locked="0"/>
    </xf>
    <xf numFmtId="0" fontId="44" fillId="0" borderId="75" xfId="0" applyFont="1" applyFill="1" applyBorder="1" applyAlignment="1" applyProtection="1">
      <alignment vertical="center"/>
      <protection locked="0"/>
    </xf>
    <xf numFmtId="0" fontId="42" fillId="10" borderId="0" xfId="0" applyFont="1" applyFill="1" applyAlignment="1">
      <alignment horizontal="center" vertical="center"/>
    </xf>
    <xf numFmtId="0" fontId="42" fillId="10" borderId="0" xfId="0" applyFont="1" applyFill="1" applyBorder="1" applyAlignment="1">
      <alignment horizontal="right" vertical="center"/>
    </xf>
    <xf numFmtId="2" fontId="42" fillId="10" borderId="0" xfId="0" applyNumberFormat="1" applyFont="1" applyFill="1" applyBorder="1" applyAlignment="1" applyProtection="1">
      <alignment vertical="center"/>
    </xf>
    <xf numFmtId="0" fontId="42" fillId="0" borderId="72" xfId="0" applyFont="1" applyFill="1" applyBorder="1" applyAlignment="1" applyProtection="1">
      <alignment vertical="center"/>
      <protection locked="0"/>
    </xf>
    <xf numFmtId="0" fontId="42" fillId="10" borderId="0" xfId="0" applyFont="1" applyFill="1" applyBorder="1" applyAlignment="1">
      <alignment vertical="center"/>
    </xf>
    <xf numFmtId="0" fontId="51" fillId="10" borderId="0" xfId="0" applyFont="1" applyFill="1" applyAlignment="1">
      <alignment vertical="center"/>
    </xf>
    <xf numFmtId="0" fontId="38" fillId="10" borderId="0" xfId="0" applyFont="1" applyFill="1" applyAlignment="1">
      <alignment vertical="center"/>
    </xf>
    <xf numFmtId="0" fontId="45" fillId="10" borderId="0" xfId="0" applyFont="1" applyFill="1" applyAlignment="1" applyProtection="1">
      <alignment vertical="center"/>
    </xf>
    <xf numFmtId="0" fontId="51" fillId="10" borderId="0" xfId="0" applyFont="1" applyFill="1" applyAlignment="1" applyProtection="1">
      <alignment vertical="center"/>
    </xf>
    <xf numFmtId="0" fontId="42" fillId="10" borderId="0" xfId="0" applyFont="1" applyFill="1" applyAlignment="1" applyProtection="1">
      <alignment vertical="center"/>
    </xf>
    <xf numFmtId="0" fontId="42" fillId="10" borderId="0" xfId="0" applyFont="1" applyFill="1" applyAlignment="1" applyProtection="1">
      <alignment vertical="center"/>
      <protection locked="0"/>
    </xf>
    <xf numFmtId="0" fontId="42" fillId="10" borderId="0" xfId="0" applyFont="1" applyFill="1" applyBorder="1" applyAlignment="1">
      <alignment horizontal="left" vertical="center"/>
    </xf>
    <xf numFmtId="0" fontId="42" fillId="10" borderId="78" xfId="0" applyFont="1" applyFill="1" applyBorder="1" applyAlignment="1">
      <alignment horizontal="center" vertical="center"/>
    </xf>
    <xf numFmtId="0" fontId="42" fillId="10" borderId="77" xfId="0" applyFont="1" applyFill="1" applyBorder="1" applyAlignment="1">
      <alignment horizontal="center" vertical="center"/>
    </xf>
    <xf numFmtId="0" fontId="42" fillId="0" borderId="72" xfId="0" applyFont="1" applyFill="1" applyBorder="1" applyAlignment="1" applyProtection="1">
      <alignment horizontal="right" vertical="center"/>
      <protection locked="0"/>
    </xf>
    <xf numFmtId="0" fontId="42" fillId="10" borderId="0" xfId="0" applyFont="1" applyFill="1" applyAlignment="1">
      <alignment horizontal="right" vertical="center"/>
    </xf>
    <xf numFmtId="0" fontId="42" fillId="10" borderId="0" xfId="0" applyFont="1" applyFill="1" applyAlignment="1">
      <alignment horizontal="left" vertical="center"/>
    </xf>
    <xf numFmtId="182" fontId="42" fillId="0" borderId="72" xfId="1" applyNumberFormat="1" applyFont="1" applyFill="1" applyBorder="1" applyProtection="1">
      <alignment vertical="center"/>
      <protection locked="0"/>
    </xf>
    <xf numFmtId="0" fontId="43" fillId="10" borderId="0" xfId="0" applyFont="1" applyFill="1" applyBorder="1" applyAlignment="1">
      <alignment horizontal="left" vertical="center"/>
    </xf>
    <xf numFmtId="0" fontId="39" fillId="10" borderId="0" xfId="0" applyFont="1" applyFill="1" applyAlignment="1">
      <alignment vertical="center"/>
    </xf>
    <xf numFmtId="0" fontId="42" fillId="10" borderId="0" xfId="0" applyFont="1" applyFill="1" applyBorder="1" applyAlignment="1">
      <alignment horizontal="center" vertical="center"/>
    </xf>
    <xf numFmtId="0" fontId="39" fillId="10" borderId="36" xfId="0" applyFont="1" applyFill="1" applyBorder="1" applyAlignment="1">
      <alignment horizontal="center" vertical="center"/>
    </xf>
    <xf numFmtId="0" fontId="39" fillId="10" borderId="37" xfId="0" applyFont="1" applyFill="1" applyBorder="1" applyAlignment="1">
      <alignment horizontal="center" vertical="center"/>
    </xf>
    <xf numFmtId="0" fontId="39" fillId="10" borderId="39" xfId="0" applyFont="1" applyFill="1" applyBorder="1" applyAlignment="1">
      <alignment horizontal="center" vertical="center"/>
    </xf>
    <xf numFmtId="0" fontId="39" fillId="10" borderId="19" xfId="0" applyFont="1" applyFill="1" applyBorder="1" applyAlignment="1">
      <alignment horizontal="center" vertical="center"/>
    </xf>
    <xf numFmtId="0" fontId="39" fillId="10" borderId="20" xfId="0" applyFont="1" applyFill="1" applyBorder="1" applyAlignment="1">
      <alignment horizontal="center" vertical="center"/>
    </xf>
    <xf numFmtId="0" fontId="54" fillId="10" borderId="1" xfId="0" applyFont="1" applyFill="1" applyBorder="1" applyAlignment="1">
      <alignment horizontal="center" vertical="center"/>
    </xf>
    <xf numFmtId="0" fontId="54" fillId="10" borderId="17" xfId="0" applyFont="1" applyFill="1" applyBorder="1" applyAlignment="1">
      <alignment horizontal="center" vertical="center"/>
    </xf>
    <xf numFmtId="0" fontId="54" fillId="10" borderId="0" xfId="0" applyFont="1" applyFill="1" applyAlignment="1">
      <alignment vertical="center"/>
    </xf>
    <xf numFmtId="0" fontId="39" fillId="10" borderId="1" xfId="0" applyFont="1" applyFill="1" applyBorder="1" applyAlignment="1">
      <alignment horizontal="center" vertical="center"/>
    </xf>
    <xf numFmtId="0" fontId="39" fillId="10" borderId="17" xfId="0" applyFont="1" applyFill="1" applyBorder="1" applyAlignment="1">
      <alignment horizontal="center" vertical="center"/>
    </xf>
    <xf numFmtId="0" fontId="39" fillId="10" borderId="22" xfId="0" applyFont="1" applyFill="1" applyBorder="1" applyAlignment="1">
      <alignment horizontal="center" vertical="center"/>
    </xf>
    <xf numFmtId="0" fontId="39" fillId="10" borderId="24" xfId="0" applyFont="1" applyFill="1" applyBorder="1" applyAlignment="1">
      <alignment horizontal="center" vertical="center"/>
    </xf>
    <xf numFmtId="0" fontId="39" fillId="10" borderId="0" xfId="0" applyFont="1" applyFill="1" applyBorder="1" applyAlignment="1">
      <alignment horizontal="center" vertical="center"/>
    </xf>
    <xf numFmtId="0" fontId="56" fillId="10" borderId="0" xfId="0" applyFont="1" applyFill="1" applyBorder="1" applyAlignment="1">
      <alignment horizontal="center" vertical="center"/>
    </xf>
    <xf numFmtId="0" fontId="42" fillId="10" borderId="80" xfId="0" applyFont="1" applyFill="1" applyBorder="1" applyAlignment="1">
      <alignment horizontal="right" vertical="center"/>
    </xf>
    <xf numFmtId="0" fontId="42" fillId="10" borderId="79" xfId="0" applyFont="1" applyFill="1" applyBorder="1" applyAlignment="1">
      <alignment vertical="center"/>
    </xf>
    <xf numFmtId="0" fontId="42" fillId="10" borderId="80" xfId="0" applyFont="1" applyFill="1" applyBorder="1" applyAlignment="1">
      <alignment vertical="center"/>
    </xf>
    <xf numFmtId="180" fontId="42" fillId="10" borderId="78" xfId="0" applyNumberFormat="1" applyFont="1" applyFill="1" applyBorder="1" applyAlignment="1">
      <alignment vertical="center"/>
    </xf>
    <xf numFmtId="2" fontId="42" fillId="10" borderId="80" xfId="0" applyNumberFormat="1" applyFont="1" applyFill="1" applyBorder="1" applyAlignment="1">
      <alignment vertical="center"/>
    </xf>
    <xf numFmtId="0" fontId="42" fillId="10" borderId="78" xfId="0" applyFont="1" applyFill="1" applyBorder="1" applyAlignment="1">
      <alignment vertical="center"/>
    </xf>
    <xf numFmtId="2" fontId="42" fillId="10" borderId="83" xfId="0" applyNumberFormat="1" applyFont="1" applyFill="1" applyBorder="1" applyAlignment="1">
      <alignment vertical="center"/>
    </xf>
    <xf numFmtId="0" fontId="42" fillId="10" borderId="84" xfId="0" applyFont="1" applyFill="1" applyBorder="1" applyAlignment="1">
      <alignment vertical="center"/>
    </xf>
    <xf numFmtId="0" fontId="56" fillId="10" borderId="0" xfId="0" applyFont="1" applyFill="1" applyAlignment="1">
      <alignment vertical="center"/>
    </xf>
    <xf numFmtId="0" fontId="39" fillId="10" borderId="55" xfId="0" applyFont="1" applyFill="1" applyBorder="1" applyAlignment="1">
      <alignment horizontal="center" vertical="center"/>
    </xf>
    <xf numFmtId="0" fontId="39" fillId="10" borderId="20" xfId="0" applyFont="1" applyFill="1" applyBorder="1" applyAlignment="1">
      <alignment vertical="center"/>
    </xf>
    <xf numFmtId="0" fontId="39" fillId="10" borderId="2" xfId="0" applyFont="1" applyFill="1" applyBorder="1" applyAlignment="1">
      <alignment horizontal="center" vertical="center"/>
    </xf>
    <xf numFmtId="0" fontId="39" fillId="10" borderId="17" xfId="0" applyFont="1" applyFill="1" applyBorder="1" applyAlignment="1">
      <alignment vertical="center"/>
    </xf>
    <xf numFmtId="0" fontId="54" fillId="10" borderId="2" xfId="0" applyFont="1" applyFill="1" applyBorder="1" applyAlignment="1">
      <alignment horizontal="center" vertical="center"/>
    </xf>
    <xf numFmtId="0" fontId="54" fillId="10" borderId="17" xfId="0" applyFont="1" applyFill="1" applyBorder="1" applyAlignment="1">
      <alignment vertical="center"/>
    </xf>
    <xf numFmtId="0" fontId="39" fillId="10" borderId="23" xfId="0" applyFont="1" applyFill="1" applyBorder="1" applyAlignment="1">
      <alignment horizontal="center" vertical="center"/>
    </xf>
    <xf numFmtId="0" fontId="39" fillId="10" borderId="24" xfId="0" applyFont="1" applyFill="1" applyBorder="1" applyAlignment="1">
      <alignment vertical="center"/>
    </xf>
    <xf numFmtId="0" fontId="43" fillId="10" borderId="41" xfId="0" applyFont="1" applyFill="1" applyBorder="1" applyAlignment="1">
      <alignment vertical="center"/>
    </xf>
    <xf numFmtId="0" fontId="43" fillId="10" borderId="66" xfId="0" applyFont="1" applyFill="1" applyBorder="1" applyAlignment="1">
      <alignment vertical="center"/>
    </xf>
    <xf numFmtId="0" fontId="42" fillId="10" borderId="66" xfId="0" applyFont="1" applyFill="1" applyBorder="1" applyAlignment="1">
      <alignment vertical="center"/>
    </xf>
    <xf numFmtId="0" fontId="42" fillId="10" borderId="42" xfId="0" applyFont="1" applyFill="1" applyBorder="1" applyAlignment="1">
      <alignment vertical="center"/>
    </xf>
    <xf numFmtId="0" fontId="42" fillId="10" borderId="43" xfId="0" applyFont="1" applyFill="1" applyBorder="1" applyAlignment="1">
      <alignment vertical="center"/>
    </xf>
    <xf numFmtId="0" fontId="42" fillId="10" borderId="44" xfId="0" applyFont="1" applyFill="1" applyBorder="1" applyAlignment="1">
      <alignment vertical="center"/>
    </xf>
    <xf numFmtId="0" fontId="42" fillId="10" borderId="1" xfId="0" applyFont="1" applyFill="1" applyBorder="1" applyAlignment="1">
      <alignment horizontal="center" vertical="center"/>
    </xf>
    <xf numFmtId="0" fontId="42" fillId="10" borderId="1" xfId="0" applyFont="1" applyFill="1" applyBorder="1" applyAlignment="1">
      <alignment vertical="center"/>
    </xf>
    <xf numFmtId="38" fontId="42" fillId="10" borderId="1" xfId="0" applyNumberFormat="1" applyFont="1" applyFill="1" applyBorder="1" applyAlignment="1">
      <alignment vertical="center"/>
    </xf>
    <xf numFmtId="40" fontId="42" fillId="10" borderId="1" xfId="0" applyNumberFormat="1" applyFont="1" applyFill="1" applyBorder="1" applyAlignment="1">
      <alignment vertical="center"/>
    </xf>
    <xf numFmtId="0" fontId="42" fillId="10" borderId="48" xfId="0" applyFont="1" applyFill="1" applyBorder="1" applyAlignment="1">
      <alignment vertical="center"/>
    </xf>
    <xf numFmtId="0" fontId="42" fillId="10" borderId="6" xfId="0" applyFont="1" applyFill="1" applyBorder="1" applyAlignment="1">
      <alignment vertical="center"/>
    </xf>
    <xf numFmtId="0" fontId="42" fillId="10" borderId="49" xfId="0" applyFont="1" applyFill="1" applyBorder="1" applyAlignment="1">
      <alignment vertical="center"/>
    </xf>
    <xf numFmtId="0" fontId="52" fillId="10" borderId="0" xfId="0" applyFont="1" applyFill="1" applyAlignment="1">
      <alignment vertical="center"/>
    </xf>
    <xf numFmtId="0" fontId="56" fillId="10" borderId="82" xfId="0" applyFont="1" applyFill="1" applyBorder="1" applyAlignment="1">
      <alignment horizontal="center" vertical="center"/>
    </xf>
    <xf numFmtId="0" fontId="56" fillId="10" borderId="36" xfId="0" applyFont="1" applyFill="1" applyBorder="1" applyAlignment="1">
      <alignment horizontal="center" vertical="center"/>
    </xf>
    <xf numFmtId="0" fontId="56" fillId="10" borderId="37" xfId="0" applyFont="1" applyFill="1" applyBorder="1" applyAlignment="1">
      <alignment horizontal="center" vertical="center"/>
    </xf>
    <xf numFmtId="0" fontId="56" fillId="10" borderId="39" xfId="0" applyFont="1" applyFill="1" applyBorder="1" applyAlignment="1">
      <alignment horizontal="center" vertical="center"/>
    </xf>
    <xf numFmtId="0" fontId="56" fillId="10" borderId="0" xfId="0" applyFont="1" applyFill="1" applyBorder="1" applyAlignment="1">
      <alignment vertical="center"/>
    </xf>
    <xf numFmtId="0" fontId="43" fillId="10" borderId="0" xfId="0" applyFont="1" applyFill="1" applyBorder="1" applyAlignment="1">
      <alignment horizontal="left" vertical="center"/>
    </xf>
    <xf numFmtId="0" fontId="43" fillId="10" borderId="0" xfId="0" applyFont="1" applyFill="1" applyAlignment="1">
      <alignment horizontal="left" vertical="center"/>
    </xf>
    <xf numFmtId="0" fontId="49" fillId="10" borderId="0" xfId="0" applyFont="1" applyFill="1" applyAlignment="1">
      <alignment horizontal="left" vertical="center"/>
    </xf>
    <xf numFmtId="0" fontId="42" fillId="0" borderId="0" xfId="0" applyFont="1" applyAlignment="1">
      <alignment horizontal="center" vertical="center"/>
    </xf>
    <xf numFmtId="0" fontId="45" fillId="0" borderId="0" xfId="0" applyFont="1" applyAlignment="1">
      <alignment horizontal="distributed" vertical="center"/>
    </xf>
    <xf numFmtId="0" fontId="45" fillId="0" borderId="0" xfId="0" applyFont="1" applyAlignment="1">
      <alignment vertical="center"/>
    </xf>
    <xf numFmtId="0" fontId="42" fillId="0" borderId="6" xfId="0" applyFont="1" applyBorder="1" applyAlignment="1">
      <alignment horizontal="center" vertical="center"/>
    </xf>
    <xf numFmtId="0" fontId="42" fillId="0" borderId="0" xfId="0" applyFont="1" applyAlignment="1">
      <alignment vertical="center"/>
    </xf>
    <xf numFmtId="0" fontId="42" fillId="9" borderId="70" xfId="0" applyFont="1" applyFill="1" applyBorder="1" applyAlignment="1">
      <alignment vertical="center"/>
    </xf>
    <xf numFmtId="0" fontId="56" fillId="9" borderId="0" xfId="0" applyFont="1" applyFill="1" applyBorder="1" applyAlignment="1">
      <alignment horizontal="right" vertical="center"/>
    </xf>
    <xf numFmtId="0" fontId="42" fillId="0" borderId="1" xfId="0" applyFont="1" applyBorder="1" applyAlignment="1">
      <alignment vertical="center"/>
    </xf>
    <xf numFmtId="0" fontId="42" fillId="0" borderId="19" xfId="0" applyFont="1" applyBorder="1" applyAlignment="1">
      <alignment vertical="center"/>
    </xf>
    <xf numFmtId="0" fontId="42" fillId="9" borderId="0" xfId="0" applyFont="1" applyFill="1" applyBorder="1" applyAlignment="1">
      <alignment vertical="center"/>
    </xf>
    <xf numFmtId="0" fontId="42" fillId="0" borderId="1" xfId="0" applyFont="1" applyBorder="1" applyAlignment="1">
      <alignment horizontal="center" vertical="center"/>
    </xf>
    <xf numFmtId="0" fontId="42" fillId="0" borderId="33" xfId="0" applyFont="1" applyBorder="1" applyAlignment="1">
      <alignment horizontal="center" vertical="center"/>
    </xf>
    <xf numFmtId="0" fontId="42" fillId="9" borderId="44" xfId="0" applyFont="1" applyFill="1" applyBorder="1" applyAlignment="1">
      <alignment vertical="center"/>
    </xf>
    <xf numFmtId="0" fontId="42" fillId="9" borderId="43" xfId="0" applyFont="1" applyFill="1" applyBorder="1" applyAlignment="1">
      <alignment horizontal="center" vertical="center"/>
    </xf>
    <xf numFmtId="0" fontId="42" fillId="9" borderId="0" xfId="0" applyFont="1" applyFill="1" applyAlignment="1">
      <alignment horizontal="center" vertical="center"/>
    </xf>
    <xf numFmtId="0" fontId="42" fillId="9" borderId="41" xfId="0" applyFont="1" applyFill="1" applyBorder="1" applyAlignment="1">
      <alignment horizontal="center" vertical="center"/>
    </xf>
    <xf numFmtId="0" fontId="42" fillId="9" borderId="43" xfId="0" applyFont="1" applyFill="1" applyBorder="1" applyAlignment="1">
      <alignment horizontal="left" vertical="center"/>
    </xf>
    <xf numFmtId="2" fontId="42" fillId="0" borderId="1" xfId="0" applyNumberFormat="1" applyFont="1" applyBorder="1" applyAlignment="1">
      <alignment horizontal="center" vertical="center"/>
    </xf>
    <xf numFmtId="38" fontId="42" fillId="0" borderId="1" xfId="0" applyNumberFormat="1" applyFont="1" applyBorder="1" applyAlignment="1">
      <alignment horizontal="right" vertical="center"/>
    </xf>
    <xf numFmtId="0" fontId="42" fillId="9" borderId="0" xfId="0" applyFont="1" applyFill="1" applyBorder="1" applyAlignment="1">
      <alignment horizontal="left" vertical="center"/>
    </xf>
    <xf numFmtId="0" fontId="43" fillId="9" borderId="43" xfId="0" applyFont="1" applyFill="1" applyBorder="1" applyAlignment="1">
      <alignment horizontal="center" vertical="center"/>
    </xf>
    <xf numFmtId="0" fontId="43" fillId="9" borderId="62" xfId="0" applyFont="1" applyFill="1" applyBorder="1" applyAlignment="1">
      <alignment horizontal="right" vertical="center"/>
    </xf>
    <xf numFmtId="0" fontId="39" fillId="9" borderId="7" xfId="0" applyFont="1" applyFill="1" applyBorder="1" applyAlignment="1">
      <alignment vertical="center"/>
    </xf>
    <xf numFmtId="0" fontId="39" fillId="9" borderId="9" xfId="0" applyFont="1" applyFill="1" applyBorder="1" applyAlignment="1">
      <alignment vertical="center"/>
    </xf>
    <xf numFmtId="0" fontId="43" fillId="9" borderId="50" xfId="0" applyFont="1" applyFill="1" applyBorder="1" applyAlignment="1">
      <alignment horizontal="center" vertical="center"/>
    </xf>
    <xf numFmtId="0" fontId="43" fillId="9" borderId="52" xfId="0" applyFont="1" applyFill="1" applyBorder="1" applyAlignment="1">
      <alignment horizontal="right" vertical="center"/>
    </xf>
    <xf numFmtId="0" fontId="42" fillId="9" borderId="64" xfId="0" applyFont="1" applyFill="1" applyBorder="1" applyAlignment="1">
      <alignment horizontal="center" vertical="center"/>
    </xf>
    <xf numFmtId="0" fontId="39" fillId="0" borderId="4" xfId="0" applyFont="1" applyBorder="1" applyAlignment="1">
      <alignment horizontal="left" vertical="center"/>
    </xf>
    <xf numFmtId="0" fontId="42" fillId="0" borderId="2" xfId="0" applyFont="1" applyBorder="1" applyAlignment="1">
      <alignment horizontal="center" vertical="center"/>
    </xf>
    <xf numFmtId="0" fontId="42" fillId="0" borderId="3" xfId="0" applyFont="1" applyBorder="1" applyAlignment="1">
      <alignment horizontal="center" vertical="center"/>
    </xf>
    <xf numFmtId="0" fontId="42" fillId="0" borderId="16" xfId="0" applyFont="1" applyBorder="1" applyAlignment="1">
      <alignment horizontal="center" vertical="center"/>
    </xf>
    <xf numFmtId="0" fontId="39" fillId="0" borderId="46" xfId="0" applyFont="1" applyBorder="1" applyAlignment="1">
      <alignment horizontal="left" vertical="center"/>
    </xf>
    <xf numFmtId="0" fontId="42" fillId="0" borderId="0" xfId="0" applyFont="1" applyFill="1" applyAlignment="1">
      <alignment horizontal="left" vertical="center"/>
    </xf>
    <xf numFmtId="0" fontId="42" fillId="0" borderId="0" xfId="0" applyFont="1" applyFill="1" applyAlignment="1">
      <alignment horizontal="center" vertical="center"/>
    </xf>
    <xf numFmtId="0" fontId="42" fillId="0" borderId="0" xfId="0" applyFont="1" applyFill="1" applyBorder="1" applyAlignment="1">
      <alignment horizontal="center" vertical="center"/>
    </xf>
    <xf numFmtId="0" fontId="42" fillId="9" borderId="18" xfId="0" applyFont="1" applyFill="1" applyBorder="1" applyAlignment="1">
      <alignment horizontal="center" vertical="center" shrinkToFit="1"/>
    </xf>
    <xf numFmtId="0" fontId="42" fillId="9" borderId="19" xfId="0" applyFont="1" applyFill="1" applyBorder="1" applyAlignment="1">
      <alignment horizontal="center" vertical="center" shrinkToFit="1"/>
    </xf>
    <xf numFmtId="0" fontId="42" fillId="9" borderId="20" xfId="0" applyFont="1" applyFill="1" applyBorder="1" applyAlignment="1">
      <alignment horizontal="center" vertical="center" shrinkToFit="1"/>
    </xf>
    <xf numFmtId="0" fontId="42" fillId="9" borderId="23" xfId="0" applyFont="1" applyFill="1" applyBorder="1" applyAlignment="1">
      <alignment horizontal="center" vertical="center"/>
    </xf>
    <xf numFmtId="0" fontId="42" fillId="9" borderId="24" xfId="0" applyFont="1" applyFill="1" applyBorder="1" applyAlignment="1">
      <alignment horizontal="center" vertical="center"/>
    </xf>
    <xf numFmtId="0" fontId="42" fillId="9" borderId="65" xfId="0" applyFont="1" applyFill="1" applyBorder="1" applyAlignment="1">
      <alignment horizontal="center" vertical="center"/>
    </xf>
    <xf numFmtId="0" fontId="42" fillId="9" borderId="26" xfId="0" applyFont="1" applyFill="1" applyBorder="1" applyAlignment="1">
      <alignment horizontal="center" vertical="center"/>
    </xf>
    <xf numFmtId="0" fontId="42" fillId="9" borderId="27" xfId="0" applyFont="1" applyFill="1" applyBorder="1" applyAlignment="1">
      <alignment horizontal="center" vertical="center"/>
    </xf>
    <xf numFmtId="0" fontId="42" fillId="0" borderId="27" xfId="0" applyFont="1" applyBorder="1" applyAlignment="1">
      <alignment horizontal="center" vertical="center"/>
    </xf>
    <xf numFmtId="40" fontId="42" fillId="0" borderId="28" xfId="1" applyNumberFormat="1" applyFont="1" applyBorder="1" applyAlignment="1">
      <alignment horizontal="center" vertical="center"/>
    </xf>
    <xf numFmtId="176" fontId="42" fillId="0" borderId="45" xfId="0" applyNumberFormat="1" applyFont="1" applyBorder="1" applyAlignment="1">
      <alignment horizontal="right" vertical="center"/>
    </xf>
    <xf numFmtId="38" fontId="42" fillId="0" borderId="57" xfId="1" applyFont="1" applyBorder="1" applyAlignment="1">
      <alignment horizontal="right" vertical="center"/>
    </xf>
    <xf numFmtId="0" fontId="42" fillId="0" borderId="57" xfId="0" applyFont="1" applyBorder="1" applyAlignment="1">
      <alignment horizontal="right" vertical="center"/>
    </xf>
    <xf numFmtId="177" fontId="42" fillId="0" borderId="57" xfId="1" applyNumberFormat="1" applyFont="1" applyBorder="1" applyAlignment="1">
      <alignment horizontal="right" vertical="center"/>
    </xf>
    <xf numFmtId="38" fontId="42" fillId="0" borderId="53" xfId="1" applyFont="1" applyBorder="1" applyAlignment="1">
      <alignment horizontal="right" vertical="center"/>
    </xf>
    <xf numFmtId="0" fontId="42" fillId="0" borderId="26" xfId="0" applyFont="1" applyBorder="1" applyAlignment="1">
      <alignment horizontal="center" vertical="center"/>
    </xf>
    <xf numFmtId="176" fontId="42" fillId="0" borderId="6" xfId="0" applyNumberFormat="1" applyFont="1" applyBorder="1" applyAlignment="1">
      <alignment horizontal="center" vertical="center"/>
    </xf>
    <xf numFmtId="176" fontId="42" fillId="0" borderId="50" xfId="0" applyNumberFormat="1" applyFont="1" applyBorder="1" applyAlignment="1">
      <alignment horizontal="left" vertical="center"/>
    </xf>
    <xf numFmtId="176" fontId="42" fillId="0" borderId="37" xfId="0" applyNumberFormat="1" applyFont="1" applyBorder="1" applyAlignment="1">
      <alignment horizontal="left" vertical="center"/>
    </xf>
    <xf numFmtId="38" fontId="42" fillId="0" borderId="39" xfId="1" applyFont="1" applyBorder="1" applyAlignment="1">
      <alignment horizontal="right" vertical="center"/>
    </xf>
    <xf numFmtId="40" fontId="42" fillId="0" borderId="13" xfId="1" applyNumberFormat="1" applyFont="1" applyBorder="1" applyAlignment="1">
      <alignment horizontal="center" vertical="center"/>
    </xf>
    <xf numFmtId="0" fontId="42" fillId="0" borderId="7" xfId="0" applyFont="1" applyBorder="1" applyAlignment="1">
      <alignment horizontal="right" vertical="center"/>
    </xf>
    <xf numFmtId="38" fontId="42" fillId="0" borderId="8" xfId="1" applyFont="1" applyBorder="1" applyAlignment="1">
      <alignment horizontal="right" vertical="center"/>
    </xf>
    <xf numFmtId="0" fontId="42" fillId="0" borderId="8" xfId="0" applyFont="1" applyBorder="1" applyAlignment="1">
      <alignment horizontal="right" vertical="center"/>
    </xf>
    <xf numFmtId="177" fontId="42" fillId="0" borderId="8" xfId="1" applyNumberFormat="1" applyFont="1" applyBorder="1" applyAlignment="1">
      <alignment horizontal="right" vertical="center"/>
    </xf>
    <xf numFmtId="38" fontId="42" fillId="0" borderId="13" xfId="1" applyFont="1" applyBorder="1" applyAlignment="1">
      <alignment horizontal="right" vertical="center"/>
    </xf>
    <xf numFmtId="0" fontId="42" fillId="0" borderId="87" xfId="0" applyFont="1" applyBorder="1" applyAlignment="1">
      <alignment horizontal="left" vertical="center"/>
    </xf>
    <xf numFmtId="0" fontId="42" fillId="0" borderId="8" xfId="0" applyFont="1" applyBorder="1" applyAlignment="1">
      <alignment horizontal="left" vertical="center"/>
    </xf>
    <xf numFmtId="40" fontId="42" fillId="0" borderId="17" xfId="1" applyNumberFormat="1" applyFont="1" applyBorder="1" applyAlignment="1">
      <alignment horizontal="center" vertical="center"/>
    </xf>
    <xf numFmtId="0" fontId="42" fillId="0" borderId="14" xfId="0" applyFont="1" applyBorder="1" applyAlignment="1">
      <alignment horizontal="right" vertical="center"/>
    </xf>
    <xf numFmtId="38" fontId="42" fillId="0" borderId="1" xfId="1" applyFont="1" applyBorder="1" applyAlignment="1">
      <alignment horizontal="right" vertical="center"/>
    </xf>
    <xf numFmtId="0" fontId="42" fillId="0" borderId="1" xfId="0" applyFont="1" applyBorder="1" applyAlignment="1">
      <alignment horizontal="right" vertical="center"/>
    </xf>
    <xf numFmtId="177" fontId="42" fillId="0" borderId="1" xfId="1" applyNumberFormat="1" applyFont="1" applyBorder="1" applyAlignment="1">
      <alignment horizontal="right" vertical="center"/>
    </xf>
    <xf numFmtId="38" fontId="42" fillId="0" borderId="17" xfId="1" applyFont="1" applyBorder="1" applyAlignment="1">
      <alignment horizontal="right" vertical="center"/>
    </xf>
    <xf numFmtId="0" fontId="42" fillId="0" borderId="14" xfId="0" applyFont="1" applyBorder="1" applyAlignment="1">
      <alignment horizontal="center" vertical="center"/>
    </xf>
    <xf numFmtId="0" fontId="42" fillId="0" borderId="15" xfId="0" applyFont="1" applyBorder="1" applyAlignment="1">
      <alignment horizontal="left" vertical="center"/>
    </xf>
    <xf numFmtId="0" fontId="42" fillId="0" borderId="1" xfId="0" applyFont="1" applyBorder="1" applyAlignment="1">
      <alignment horizontal="left" vertical="center"/>
    </xf>
    <xf numFmtId="176" fontId="42" fillId="0" borderId="15" xfId="0" applyNumberFormat="1" applyFont="1" applyBorder="1" applyAlignment="1">
      <alignment horizontal="left" vertical="center"/>
    </xf>
    <xf numFmtId="40" fontId="42" fillId="0" borderId="24" xfId="1" applyNumberFormat="1" applyFont="1" applyBorder="1" applyAlignment="1">
      <alignment horizontal="center" vertical="center"/>
    </xf>
    <xf numFmtId="0" fontId="42" fillId="0" borderId="32" xfId="0" applyFont="1" applyBorder="1" applyAlignment="1">
      <alignment horizontal="right" vertical="center"/>
    </xf>
    <xf numFmtId="38" fontId="42" fillId="0" borderId="33" xfId="1" applyFont="1" applyBorder="1" applyAlignment="1">
      <alignment horizontal="right" vertical="center"/>
    </xf>
    <xf numFmtId="177" fontId="42" fillId="0" borderId="33" xfId="1" applyNumberFormat="1" applyFont="1" applyBorder="1" applyAlignment="1">
      <alignment horizontal="right" vertical="center"/>
    </xf>
    <xf numFmtId="38" fontId="42" fillId="0" borderId="35" xfId="1" applyFont="1" applyBorder="1" applyAlignment="1">
      <alignment horizontal="right" vertical="center"/>
    </xf>
    <xf numFmtId="0" fontId="42" fillId="0" borderId="60" xfId="0" applyFont="1" applyBorder="1" applyAlignment="1">
      <alignment horizontal="left" vertical="center"/>
    </xf>
    <xf numFmtId="0" fontId="42" fillId="0" borderId="22" xfId="0" applyFont="1" applyBorder="1" applyAlignment="1">
      <alignment horizontal="left" vertical="center"/>
    </xf>
    <xf numFmtId="38" fontId="42" fillId="0" borderId="24" xfId="1" applyFont="1" applyBorder="1" applyAlignment="1">
      <alignment horizontal="right" vertical="center"/>
    </xf>
    <xf numFmtId="40" fontId="42" fillId="0" borderId="9" xfId="0" applyNumberFormat="1" applyFont="1" applyBorder="1" applyAlignment="1">
      <alignment horizontal="center" vertical="center"/>
    </xf>
    <xf numFmtId="40" fontId="42" fillId="0" borderId="2" xfId="0" applyNumberFormat="1" applyFont="1" applyBorder="1" applyAlignment="1">
      <alignment horizontal="center" vertical="center"/>
    </xf>
    <xf numFmtId="40" fontId="42" fillId="0" borderId="34" xfId="0" applyNumberFormat="1" applyFont="1" applyBorder="1" applyAlignment="1">
      <alignment horizontal="center" vertical="center"/>
    </xf>
    <xf numFmtId="0" fontId="42" fillId="0" borderId="21" xfId="0" applyFont="1" applyBorder="1" applyAlignment="1">
      <alignment horizontal="right" vertical="center"/>
    </xf>
    <xf numFmtId="38" fontId="42" fillId="0" borderId="22" xfId="1" applyFont="1" applyBorder="1" applyAlignment="1">
      <alignment horizontal="right" vertical="center"/>
    </xf>
    <xf numFmtId="0" fontId="42" fillId="0" borderId="22" xfId="0" applyFont="1" applyBorder="1" applyAlignment="1">
      <alignment horizontal="right" vertical="center"/>
    </xf>
    <xf numFmtId="0" fontId="42" fillId="4" borderId="26" xfId="0" applyFont="1" applyFill="1" applyBorder="1" applyAlignment="1">
      <alignment horizontal="center" vertical="center"/>
    </xf>
    <xf numFmtId="38" fontId="42" fillId="0" borderId="27" xfId="1" applyFont="1" applyBorder="1" applyAlignment="1">
      <alignment horizontal="right" vertical="center"/>
    </xf>
    <xf numFmtId="0" fontId="42" fillId="4" borderId="27" xfId="0" applyFont="1" applyFill="1" applyBorder="1" applyAlignment="1">
      <alignment horizontal="center" vertical="center"/>
    </xf>
    <xf numFmtId="38" fontId="42" fillId="4" borderId="27" xfId="1" applyFont="1" applyFill="1" applyBorder="1" applyAlignment="1">
      <alignment horizontal="center" vertical="center"/>
    </xf>
    <xf numFmtId="38" fontId="42" fillId="0" borderId="29" xfId="1" applyFont="1" applyBorder="1" applyAlignment="1">
      <alignment horizontal="right" vertical="center"/>
    </xf>
    <xf numFmtId="0" fontId="42" fillId="4" borderId="36" xfId="0" applyFont="1" applyFill="1" applyBorder="1" applyAlignment="1">
      <alignment horizontal="center" vertical="center"/>
    </xf>
    <xf numFmtId="0" fontId="42" fillId="4" borderId="51" xfId="0" applyFont="1" applyFill="1" applyBorder="1" applyAlignment="1">
      <alignment horizontal="center" vertical="center"/>
    </xf>
    <xf numFmtId="0" fontId="42" fillId="4" borderId="6" xfId="0" applyFont="1" applyFill="1" applyBorder="1" applyAlignment="1">
      <alignment horizontal="center" vertical="center"/>
    </xf>
    <xf numFmtId="0" fontId="42" fillId="4" borderId="41" xfId="0" applyFont="1" applyFill="1" applyBorder="1" applyAlignment="1">
      <alignment horizontal="center" vertical="center"/>
    </xf>
    <xf numFmtId="0" fontId="42" fillId="4" borderId="66" xfId="0" applyFont="1" applyFill="1" applyBorder="1" applyAlignment="1">
      <alignment horizontal="center" vertical="center"/>
    </xf>
    <xf numFmtId="0" fontId="42" fillId="4" borderId="42" xfId="0" applyFont="1" applyFill="1" applyBorder="1" applyAlignment="1">
      <alignment horizontal="center" vertical="center"/>
    </xf>
    <xf numFmtId="0" fontId="42" fillId="4" borderId="43" xfId="0" applyFont="1" applyFill="1" applyBorder="1" applyAlignment="1">
      <alignment horizontal="center" vertical="center"/>
    </xf>
    <xf numFmtId="0" fontId="42" fillId="4" borderId="0" xfId="0" applyFont="1" applyFill="1" applyAlignment="1">
      <alignment horizontal="center" vertical="center"/>
    </xf>
    <xf numFmtId="0" fontId="42" fillId="4" borderId="44" xfId="0" applyFont="1" applyFill="1" applyBorder="1" applyAlignment="1">
      <alignment horizontal="center" vertical="center"/>
    </xf>
    <xf numFmtId="0" fontId="42" fillId="9" borderId="4" xfId="0" applyFont="1" applyFill="1" applyBorder="1" applyAlignment="1">
      <alignment horizontal="center" vertical="center" shrinkToFit="1"/>
    </xf>
    <xf numFmtId="0" fontId="42" fillId="9" borderId="1" xfId="0" applyFont="1" applyFill="1" applyBorder="1" applyAlignment="1">
      <alignment horizontal="center" vertical="center" shrinkToFit="1"/>
    </xf>
    <xf numFmtId="0" fontId="42" fillId="9" borderId="17" xfId="0" applyFont="1" applyFill="1" applyBorder="1" applyAlignment="1">
      <alignment horizontal="center" vertical="center" shrinkToFit="1"/>
    </xf>
    <xf numFmtId="0" fontId="42" fillId="0" borderId="19" xfId="0" applyFont="1" applyBorder="1" applyAlignment="1">
      <alignment horizontal="center" vertical="center"/>
    </xf>
    <xf numFmtId="0" fontId="42" fillId="0" borderId="20" xfId="0" applyFont="1" applyBorder="1" applyAlignment="1">
      <alignment horizontal="center" vertical="center"/>
    </xf>
    <xf numFmtId="2" fontId="42" fillId="0" borderId="54" xfId="0" applyNumberFormat="1" applyFont="1" applyBorder="1" applyAlignment="1">
      <alignment horizontal="right" vertical="center"/>
    </xf>
    <xf numFmtId="38" fontId="42" fillId="0" borderId="19" xfId="1" applyFont="1" applyBorder="1" applyAlignment="1">
      <alignment horizontal="right" vertical="center"/>
    </xf>
    <xf numFmtId="2" fontId="42" fillId="0" borderId="19" xfId="0" applyNumberFormat="1" applyFont="1" applyBorder="1" applyAlignment="1">
      <alignment horizontal="right" vertical="center"/>
    </xf>
    <xf numFmtId="38" fontId="42" fillId="0" borderId="20" xfId="1" applyFont="1" applyBorder="1" applyAlignment="1">
      <alignment horizontal="right" vertical="center"/>
    </xf>
    <xf numFmtId="0" fontId="42" fillId="0" borderId="17" xfId="0" applyFont="1" applyBorder="1" applyAlignment="1">
      <alignment horizontal="center" vertical="center"/>
    </xf>
    <xf numFmtId="38" fontId="42" fillId="0" borderId="11" xfId="1" applyFont="1" applyBorder="1" applyAlignment="1">
      <alignment horizontal="right" vertical="center"/>
    </xf>
    <xf numFmtId="0" fontId="42" fillId="4" borderId="48" xfId="0" applyFont="1" applyFill="1" applyBorder="1" applyAlignment="1">
      <alignment horizontal="center" vertical="center"/>
    </xf>
    <xf numFmtId="0" fontId="42" fillId="4" borderId="49" xfId="0" applyFont="1" applyFill="1" applyBorder="1" applyAlignment="1">
      <alignment horizontal="center" vertical="center"/>
    </xf>
    <xf numFmtId="38" fontId="42" fillId="0" borderId="37" xfId="1" applyFont="1" applyBorder="1" applyAlignment="1">
      <alignment horizontal="right" vertical="center"/>
    </xf>
    <xf numFmtId="38" fontId="42" fillId="0" borderId="0" xfId="1" applyFont="1" applyFill="1" applyBorder="1" applyAlignment="1">
      <alignment horizontal="right" vertical="center"/>
    </xf>
    <xf numFmtId="0" fontId="42" fillId="9" borderId="35" xfId="0" applyFont="1" applyFill="1" applyBorder="1" applyAlignment="1">
      <alignment horizontal="center" vertical="center"/>
    </xf>
    <xf numFmtId="40" fontId="42" fillId="0" borderId="28" xfId="0" applyNumberFormat="1" applyFont="1" applyBorder="1" applyAlignment="1">
      <alignment horizontal="center" vertical="center"/>
    </xf>
    <xf numFmtId="177" fontId="42" fillId="0" borderId="45" xfId="1" applyNumberFormat="1" applyFont="1" applyBorder="1" applyAlignment="1">
      <alignment horizontal="right" vertical="center"/>
    </xf>
    <xf numFmtId="0" fontId="42" fillId="0" borderId="36" xfId="0" applyFont="1" applyBorder="1" applyAlignment="1">
      <alignment horizontal="center" vertical="center"/>
    </xf>
    <xf numFmtId="176" fontId="42" fillId="0" borderId="51" xfId="0" applyNumberFormat="1" applyFont="1" applyBorder="1" applyAlignment="1">
      <alignment horizontal="center" vertical="center"/>
    </xf>
    <xf numFmtId="176" fontId="42" fillId="0" borderId="51" xfId="0" applyNumberFormat="1" applyFont="1" applyBorder="1" applyAlignment="1">
      <alignment horizontal="left" vertical="center"/>
    </xf>
    <xf numFmtId="40" fontId="42" fillId="0" borderId="13" xfId="0" applyNumberFormat="1" applyFont="1" applyBorder="1" applyAlignment="1">
      <alignment horizontal="center" vertical="center"/>
    </xf>
    <xf numFmtId="0" fontId="42" fillId="0" borderId="63" xfId="0" applyFont="1" applyBorder="1" applyAlignment="1">
      <alignment horizontal="left" vertical="center"/>
    </xf>
    <xf numFmtId="40" fontId="42" fillId="0" borderId="17" xfId="0" applyNumberFormat="1" applyFont="1" applyBorder="1" applyAlignment="1">
      <alignment horizontal="center" vertical="center"/>
    </xf>
    <xf numFmtId="0" fontId="42" fillId="0" borderId="3" xfId="0" applyFont="1" applyBorder="1" applyAlignment="1">
      <alignment horizontal="left" vertical="center"/>
    </xf>
    <xf numFmtId="176" fontId="42" fillId="0" borderId="3" xfId="0" applyNumberFormat="1" applyFont="1" applyBorder="1" applyAlignment="1">
      <alignment horizontal="left" vertical="center"/>
    </xf>
    <xf numFmtId="40" fontId="42" fillId="0" borderId="24" xfId="0" applyNumberFormat="1" applyFont="1" applyBorder="1" applyAlignment="1">
      <alignment horizontal="center" vertical="center"/>
    </xf>
    <xf numFmtId="0" fontId="42" fillId="0" borderId="65" xfId="0" applyFont="1" applyBorder="1" applyAlignment="1">
      <alignment horizontal="left" vertical="center"/>
    </xf>
    <xf numFmtId="0" fontId="42" fillId="0" borderId="54" xfId="0" applyFont="1" applyBorder="1" applyAlignment="1">
      <alignment horizontal="center" vertical="center"/>
    </xf>
    <xf numFmtId="0" fontId="42" fillId="0" borderId="4" xfId="0" applyFont="1" applyBorder="1" applyAlignment="1">
      <alignment horizontal="center" vertical="center"/>
    </xf>
    <xf numFmtId="0" fontId="42" fillId="0" borderId="56" xfId="0" applyFont="1" applyBorder="1" applyAlignment="1">
      <alignment horizontal="center" vertical="center"/>
    </xf>
    <xf numFmtId="2" fontId="42" fillId="0" borderId="4" xfId="0" applyNumberFormat="1" applyFont="1" applyBorder="1" applyAlignment="1">
      <alignment horizontal="right" vertical="center"/>
    </xf>
    <xf numFmtId="2" fontId="42" fillId="0" borderId="1" xfId="0" applyNumberFormat="1" applyFont="1" applyBorder="1" applyAlignment="1">
      <alignment horizontal="right" vertical="center"/>
    </xf>
    <xf numFmtId="2" fontId="42" fillId="0" borderId="46" xfId="0" applyNumberFormat="1" applyFont="1" applyBorder="1" applyAlignment="1">
      <alignment horizontal="right" vertical="center"/>
    </xf>
    <xf numFmtId="38" fontId="42" fillId="0" borderId="0" xfId="0" applyNumberFormat="1" applyFont="1" applyAlignment="1">
      <alignment horizontal="center" vertical="center"/>
    </xf>
    <xf numFmtId="0" fontId="42" fillId="0" borderId="50" xfId="0" applyFont="1" applyBorder="1" applyAlignment="1">
      <alignment horizontal="center" vertical="center"/>
    </xf>
    <xf numFmtId="0" fontId="42" fillId="0" borderId="0" xfId="0" applyFont="1" applyBorder="1" applyAlignment="1">
      <alignment horizontal="center" vertical="center"/>
    </xf>
    <xf numFmtId="0" fontId="42" fillId="0" borderId="0" xfId="0" applyFont="1" applyAlignment="1">
      <alignment horizontal="left" vertical="center"/>
    </xf>
    <xf numFmtId="0" fontId="42" fillId="0" borderId="0" xfId="0" applyFont="1" applyBorder="1" applyAlignment="1">
      <alignment horizontal="left" vertical="center"/>
    </xf>
    <xf numFmtId="38" fontId="42" fillId="0" borderId="0" xfId="0" applyNumberFormat="1" applyFont="1" applyBorder="1" applyAlignment="1">
      <alignment horizontal="right" vertical="center"/>
    </xf>
    <xf numFmtId="0" fontId="42" fillId="0" borderId="76" xfId="0" applyFont="1" applyBorder="1" applyAlignment="1">
      <alignment horizontal="left" vertical="center"/>
    </xf>
    <xf numFmtId="0" fontId="42" fillId="0" borderId="0" xfId="0" applyNumberFormat="1" applyFont="1" applyBorder="1" applyAlignment="1">
      <alignment horizontal="left" vertical="center"/>
    </xf>
    <xf numFmtId="0" fontId="42" fillId="0" borderId="61" xfId="0" applyFont="1" applyBorder="1" applyAlignment="1">
      <alignment horizontal="left" vertical="center"/>
    </xf>
    <xf numFmtId="0" fontId="59" fillId="0" borderId="0" xfId="0" applyFont="1" applyAlignment="1">
      <alignment horizontal="center" vertical="center"/>
    </xf>
    <xf numFmtId="0" fontId="39" fillId="9" borderId="1" xfId="0" applyFont="1" applyFill="1" applyBorder="1" applyAlignment="1">
      <alignment vertical="center" shrinkToFit="1"/>
    </xf>
    <xf numFmtId="0" fontId="39" fillId="9" borderId="34" xfId="0" applyFont="1" applyFill="1" applyBorder="1" applyAlignment="1">
      <alignment horizontal="center" vertical="center" shrinkToFit="1"/>
    </xf>
    <xf numFmtId="0" fontId="39" fillId="9" borderId="64" xfId="0" applyFont="1" applyFill="1" applyBorder="1" applyAlignment="1">
      <alignment horizontal="center" vertical="center" shrinkToFit="1"/>
    </xf>
    <xf numFmtId="0" fontId="39" fillId="9" borderId="86" xfId="0" applyFont="1" applyFill="1" applyBorder="1" applyAlignment="1">
      <alignment horizontal="right" vertical="center" shrinkToFit="1"/>
    </xf>
    <xf numFmtId="0" fontId="0" fillId="0" borderId="1" xfId="0"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42" fillId="0" borderId="0" xfId="0" applyFont="1" applyBorder="1" applyAlignment="1">
      <alignment vertical="center"/>
    </xf>
    <xf numFmtId="38" fontId="42" fillId="0" borderId="0" xfId="1" applyFont="1" applyBorder="1" applyAlignment="1">
      <alignment horizontal="right" vertical="center"/>
    </xf>
    <xf numFmtId="38" fontId="42" fillId="10" borderId="1" xfId="1" applyFont="1" applyFill="1" applyBorder="1" applyAlignment="1">
      <alignment vertical="center"/>
    </xf>
    <xf numFmtId="177" fontId="42" fillId="10" borderId="1" xfId="0" applyNumberFormat="1" applyFont="1" applyFill="1" applyBorder="1" applyAlignment="1">
      <alignment vertical="center"/>
    </xf>
    <xf numFmtId="38" fontId="42" fillId="10" borderId="0" xfId="0" applyNumberFormat="1" applyFont="1" applyFill="1" applyBorder="1" applyAlignment="1">
      <alignment vertical="center"/>
    </xf>
    <xf numFmtId="38" fontId="42" fillId="10" borderId="0" xfId="1" applyFont="1" applyFill="1" applyBorder="1" applyAlignment="1">
      <alignment vertical="center"/>
    </xf>
    <xf numFmtId="0" fontId="42" fillId="0" borderId="5" xfId="0" applyFont="1" applyBorder="1" applyAlignment="1">
      <alignment vertical="center"/>
    </xf>
    <xf numFmtId="38" fontId="42" fillId="0" borderId="55" xfId="1" applyFont="1" applyBorder="1" applyAlignment="1">
      <alignment horizontal="right" vertical="center"/>
    </xf>
    <xf numFmtId="0" fontId="42" fillId="0" borderId="17" xfId="0" applyFont="1" applyBorder="1" applyAlignment="1">
      <alignment horizontal="left" vertical="center"/>
    </xf>
    <xf numFmtId="0" fontId="42" fillId="7" borderId="50" xfId="0" applyFont="1" applyFill="1" applyBorder="1" applyAlignment="1">
      <alignment horizontal="center" vertical="center"/>
    </xf>
    <xf numFmtId="0" fontId="73" fillId="7" borderId="0" xfId="0" applyFont="1" applyFill="1" applyAlignment="1">
      <alignment horizontal="left" vertical="center"/>
    </xf>
    <xf numFmtId="0" fontId="42" fillId="16" borderId="50" xfId="0" applyFont="1" applyFill="1" applyBorder="1" applyAlignment="1">
      <alignment horizontal="center" vertical="center"/>
    </xf>
    <xf numFmtId="0" fontId="73" fillId="16" borderId="0" xfId="0" applyFont="1" applyFill="1" applyAlignment="1">
      <alignment horizontal="left" vertical="center"/>
    </xf>
    <xf numFmtId="0" fontId="73" fillId="5" borderId="0" xfId="0" applyFont="1" applyFill="1" applyAlignment="1">
      <alignment horizontal="left" vertical="center"/>
    </xf>
    <xf numFmtId="0" fontId="42" fillId="5" borderId="50" xfId="0" applyFont="1" applyFill="1" applyBorder="1" applyAlignment="1">
      <alignment horizontal="center" vertical="center"/>
    </xf>
    <xf numFmtId="0" fontId="10" fillId="0" borderId="0" xfId="2" applyProtection="1">
      <alignment vertical="center"/>
      <protection hidden="1"/>
    </xf>
    <xf numFmtId="0" fontId="10" fillId="0" borderId="0" xfId="2" applyBorder="1" applyProtection="1">
      <alignment vertical="center"/>
      <protection hidden="1"/>
    </xf>
    <xf numFmtId="0" fontId="10" fillId="0" borderId="0" xfId="2" applyBorder="1" applyAlignment="1" applyProtection="1">
      <alignment vertical="center" shrinkToFit="1"/>
      <protection hidden="1"/>
    </xf>
    <xf numFmtId="0" fontId="10" fillId="0" borderId="0" xfId="2" applyBorder="1" applyAlignment="1" applyProtection="1">
      <alignment vertical="center" wrapText="1"/>
      <protection hidden="1"/>
    </xf>
    <xf numFmtId="0" fontId="6" fillId="0" borderId="0" xfId="2" applyFont="1" applyBorder="1" applyAlignment="1" applyProtection="1">
      <alignment vertical="center"/>
      <protection hidden="1"/>
    </xf>
    <xf numFmtId="0" fontId="6" fillId="0" borderId="0" xfId="2" applyFont="1" applyAlignment="1" applyProtection="1">
      <alignment vertical="center" shrinkToFit="1"/>
      <protection hidden="1"/>
    </xf>
    <xf numFmtId="0" fontId="42" fillId="0" borderId="64" xfId="0" applyFont="1" applyBorder="1" applyAlignment="1">
      <alignment vertical="center"/>
    </xf>
    <xf numFmtId="38" fontId="42" fillId="0" borderId="34" xfId="1" applyFont="1" applyBorder="1" applyAlignment="1">
      <alignment horizontal="right" vertical="center"/>
    </xf>
    <xf numFmtId="0" fontId="42" fillId="0" borderId="2" xfId="0" applyFont="1" applyBorder="1" applyAlignment="1">
      <alignment vertical="center"/>
    </xf>
    <xf numFmtId="0" fontId="42" fillId="0" borderId="3" xfId="0" applyFont="1" applyBorder="1" applyAlignment="1">
      <alignment vertical="center"/>
    </xf>
    <xf numFmtId="177" fontId="42" fillId="0" borderId="2" xfId="1" applyNumberFormat="1" applyFont="1" applyBorder="1" applyAlignment="1">
      <alignment horizontal="right" vertical="center"/>
    </xf>
    <xf numFmtId="0" fontId="68" fillId="0" borderId="1" xfId="0" applyFont="1" applyBorder="1" applyAlignment="1">
      <alignment horizontal="center" vertical="center" shrinkToFit="1"/>
    </xf>
    <xf numFmtId="0" fontId="10" fillId="0" borderId="0" xfId="2" applyBorder="1" applyAlignment="1" applyProtection="1">
      <alignment horizontal="right" vertical="center"/>
      <protection hidden="1"/>
    </xf>
    <xf numFmtId="0" fontId="6" fillId="0" borderId="0" xfId="2" applyFont="1" applyAlignment="1" applyProtection="1">
      <alignment horizontal="right" vertical="center"/>
      <protection hidden="1"/>
    </xf>
    <xf numFmtId="0" fontId="10" fillId="0" borderId="0" xfId="2" applyAlignment="1" applyProtection="1">
      <alignment horizontal="right" vertical="center"/>
      <protection hidden="1"/>
    </xf>
    <xf numFmtId="0" fontId="10" fillId="0" borderId="1" xfId="2" applyBorder="1" applyProtection="1">
      <alignment vertical="center"/>
      <protection hidden="1"/>
    </xf>
    <xf numFmtId="6" fontId="10" fillId="0" borderId="0" xfId="9" applyFont="1" applyBorder="1" applyProtection="1">
      <alignment vertical="center"/>
      <protection hidden="1"/>
    </xf>
    <xf numFmtId="6" fontId="10" fillId="0" borderId="0" xfId="9" applyFont="1" applyProtection="1">
      <alignment vertical="center"/>
      <protection hidden="1"/>
    </xf>
    <xf numFmtId="0" fontId="15" fillId="0" borderId="0" xfId="2" applyFont="1" applyProtection="1">
      <alignment vertical="center"/>
    </xf>
    <xf numFmtId="0" fontId="7" fillId="3" borderId="0" xfId="2" applyFont="1" applyFill="1" applyAlignment="1" applyProtection="1">
      <alignment horizontal="center" vertical="center" shrinkToFit="1"/>
    </xf>
    <xf numFmtId="0" fontId="10" fillId="0" borderId="0" xfId="2" applyFont="1" applyAlignment="1" applyProtection="1">
      <alignment vertical="center" shrinkToFit="1"/>
    </xf>
    <xf numFmtId="0" fontId="10" fillId="0" borderId="0" xfId="2" applyProtection="1">
      <alignment vertical="center"/>
    </xf>
    <xf numFmtId="0" fontId="10" fillId="0" borderId="0" xfId="2" applyBorder="1" applyProtection="1">
      <alignment vertical="center"/>
    </xf>
    <xf numFmtId="0" fontId="24" fillId="0" borderId="0" xfId="2" applyFont="1" applyBorder="1" applyAlignment="1" applyProtection="1">
      <alignment vertical="center" wrapText="1"/>
    </xf>
    <xf numFmtId="0" fontId="4" fillId="0" borderId="0" xfId="2" applyFont="1" applyBorder="1" applyAlignment="1" applyProtection="1">
      <alignment vertical="center" wrapText="1"/>
    </xf>
    <xf numFmtId="0" fontId="6" fillId="0" borderId="3" xfId="2" applyFont="1" applyBorder="1" applyAlignment="1" applyProtection="1">
      <alignment horizontal="center" vertical="center" shrinkToFit="1"/>
    </xf>
    <xf numFmtId="0" fontId="4" fillId="0" borderId="64" xfId="2" applyFont="1" applyBorder="1" applyAlignment="1" applyProtection="1">
      <alignment horizontal="right" vertical="center" wrapText="1"/>
    </xf>
    <xf numFmtId="0" fontId="6" fillId="0" borderId="0" xfId="2" applyFont="1" applyBorder="1" applyAlignment="1" applyProtection="1">
      <alignment horizontal="center" vertical="center"/>
    </xf>
    <xf numFmtId="0" fontId="6" fillId="0" borderId="0" xfId="2" applyFont="1" applyBorder="1" applyAlignment="1" applyProtection="1">
      <alignment horizontal="center" vertical="center" wrapText="1"/>
    </xf>
    <xf numFmtId="0" fontId="6" fillId="0" borderId="0" xfId="2" applyFont="1" applyBorder="1" applyAlignment="1" applyProtection="1">
      <alignment horizontal="left" vertical="center"/>
    </xf>
    <xf numFmtId="0" fontId="10" fillId="0" borderId="0" xfId="2" applyBorder="1" applyAlignment="1" applyProtection="1">
      <alignment horizontal="left" vertical="center" wrapText="1"/>
    </xf>
    <xf numFmtId="0" fontId="42" fillId="11" borderId="72" xfId="0" applyFont="1" applyFill="1" applyBorder="1" applyAlignment="1" applyProtection="1">
      <alignment horizontal="right" vertical="center"/>
      <protection locked="0"/>
    </xf>
    <xf numFmtId="40" fontId="42" fillId="11" borderId="72" xfId="0" applyNumberFormat="1" applyFont="1" applyFill="1" applyBorder="1" applyAlignment="1" applyProtection="1">
      <alignment horizontal="right" vertical="center"/>
      <protection locked="0"/>
    </xf>
    <xf numFmtId="0" fontId="32" fillId="12" borderId="0" xfId="10" applyFont="1" applyFill="1" applyProtection="1">
      <alignment vertical="center"/>
      <protection hidden="1"/>
    </xf>
    <xf numFmtId="0" fontId="33" fillId="12" borderId="0" xfId="10" applyFont="1" applyFill="1" applyProtection="1">
      <alignment vertical="center"/>
      <protection hidden="1"/>
    </xf>
    <xf numFmtId="14" fontId="33" fillId="12" borderId="0" xfId="10" applyNumberFormat="1" applyFont="1" applyFill="1" applyProtection="1">
      <alignment vertical="center"/>
      <protection hidden="1"/>
    </xf>
    <xf numFmtId="190" fontId="78" fillId="12" borderId="0" xfId="10" applyNumberFormat="1" applyFont="1" applyFill="1" applyProtection="1">
      <alignment vertical="center"/>
      <protection hidden="1"/>
    </xf>
    <xf numFmtId="190" fontId="33" fillId="12" borderId="0" xfId="10" applyNumberFormat="1" applyFont="1" applyFill="1" applyProtection="1">
      <alignment vertical="center"/>
      <protection hidden="1"/>
    </xf>
    <xf numFmtId="191" fontId="33" fillId="12" borderId="0" xfId="10" applyNumberFormat="1" applyFont="1" applyFill="1" applyProtection="1">
      <alignment vertical="center"/>
      <protection hidden="1"/>
    </xf>
    <xf numFmtId="0" fontId="33" fillId="12" borderId="6" xfId="10" applyNumberFormat="1" applyFont="1" applyFill="1" applyBorder="1" applyAlignment="1" applyProtection="1">
      <alignment horizontal="right" vertical="center"/>
      <protection hidden="1"/>
    </xf>
    <xf numFmtId="0" fontId="31" fillId="0" borderId="0" xfId="10" applyProtection="1">
      <alignment vertical="center"/>
      <protection hidden="1"/>
    </xf>
    <xf numFmtId="0" fontId="33" fillId="12" borderId="10" xfId="10" applyFont="1" applyFill="1" applyBorder="1" applyProtection="1">
      <alignment vertical="center"/>
      <protection hidden="1"/>
    </xf>
    <xf numFmtId="0" fontId="33" fillId="12" borderId="45" xfId="10" applyFont="1" applyFill="1" applyBorder="1" applyProtection="1">
      <alignment vertical="center"/>
      <protection hidden="1"/>
    </xf>
    <xf numFmtId="0" fontId="35" fillId="12" borderId="100" xfId="6" applyFont="1" applyFill="1" applyBorder="1" applyAlignment="1" applyProtection="1">
      <alignment horizontal="center" vertical="center"/>
      <protection hidden="1"/>
    </xf>
    <xf numFmtId="0" fontId="35" fillId="12" borderId="102" xfId="6" applyFont="1" applyFill="1" applyBorder="1" applyAlignment="1" applyProtection="1">
      <alignment horizontal="center" vertical="center"/>
      <protection hidden="1"/>
    </xf>
    <xf numFmtId="0" fontId="35" fillId="3" borderId="106" xfId="6" applyFont="1" applyFill="1" applyBorder="1" applyAlignment="1" applyProtection="1">
      <alignment horizontal="center" vertical="center"/>
      <protection hidden="1"/>
    </xf>
    <xf numFmtId="0" fontId="35" fillId="3" borderId="100" xfId="6" applyFont="1" applyFill="1" applyBorder="1" applyAlignment="1" applyProtection="1">
      <alignment horizontal="center" vertical="center"/>
      <protection hidden="1"/>
    </xf>
    <xf numFmtId="0" fontId="35" fillId="3" borderId="107" xfId="6" applyFont="1" applyFill="1" applyBorder="1" applyAlignment="1" applyProtection="1">
      <alignment horizontal="center" vertical="center"/>
      <protection hidden="1"/>
    </xf>
    <xf numFmtId="0" fontId="35" fillId="12" borderId="90" xfId="6" applyFont="1" applyFill="1" applyBorder="1" applyAlignment="1" applyProtection="1">
      <alignment horizontal="center" vertical="center" shrinkToFit="1"/>
      <protection hidden="1"/>
    </xf>
    <xf numFmtId="0" fontId="35" fillId="12" borderId="90" xfId="6" applyFont="1" applyFill="1" applyBorder="1" applyAlignment="1" applyProtection="1">
      <alignment horizontal="center" vertical="center" wrapText="1"/>
      <protection hidden="1"/>
    </xf>
    <xf numFmtId="0" fontId="35" fillId="12" borderId="69" xfId="6" applyFont="1" applyFill="1" applyBorder="1" applyAlignment="1" applyProtection="1">
      <alignment horizontal="center" vertical="center" wrapText="1"/>
      <protection hidden="1"/>
    </xf>
    <xf numFmtId="0" fontId="35" fillId="12" borderId="20" xfId="6" applyFont="1" applyFill="1" applyBorder="1" applyAlignment="1" applyProtection="1">
      <alignment horizontal="center" vertical="center" wrapText="1"/>
      <protection hidden="1"/>
    </xf>
    <xf numFmtId="0" fontId="33" fillId="12" borderId="26" xfId="10" applyFont="1" applyFill="1" applyBorder="1" applyProtection="1">
      <alignment vertical="center"/>
      <protection hidden="1"/>
    </xf>
    <xf numFmtId="0" fontId="35" fillId="12" borderId="23" xfId="6" applyFont="1" applyFill="1" applyBorder="1" applyAlignment="1" applyProtection="1">
      <alignment horizontal="center" vertical="center" wrapText="1"/>
      <protection hidden="1"/>
    </xf>
    <xf numFmtId="0" fontId="35" fillId="12" borderId="46" xfId="6" applyFont="1" applyFill="1" applyBorder="1" applyAlignment="1" applyProtection="1">
      <alignment horizontal="center" vertical="center" wrapText="1"/>
      <protection hidden="1"/>
    </xf>
    <xf numFmtId="0" fontId="35" fillId="12" borderId="22" xfId="6" applyFont="1" applyFill="1" applyBorder="1" applyAlignment="1" applyProtection="1">
      <alignment horizontal="center" vertical="center" wrapText="1"/>
      <protection hidden="1"/>
    </xf>
    <xf numFmtId="0" fontId="35" fillId="12" borderId="31" xfId="6" applyFont="1" applyFill="1" applyBorder="1" applyAlignment="1" applyProtection="1">
      <alignment horizontal="center" vertical="center" wrapText="1"/>
      <protection hidden="1"/>
    </xf>
    <xf numFmtId="0" fontId="35" fillId="12" borderId="24" xfId="6" applyFont="1" applyFill="1" applyBorder="1" applyAlignment="1" applyProtection="1">
      <alignment horizontal="center" vertical="center" wrapText="1"/>
      <protection hidden="1"/>
    </xf>
    <xf numFmtId="0" fontId="35" fillId="12" borderId="9" xfId="6" applyFont="1" applyFill="1" applyBorder="1" applyAlignment="1" applyProtection="1">
      <alignment horizontal="distributed" vertical="center" justifyLastLine="1"/>
      <protection hidden="1"/>
    </xf>
    <xf numFmtId="0" fontId="35" fillId="12" borderId="9" xfId="6" applyFont="1" applyFill="1" applyBorder="1" applyAlignment="1" applyProtection="1">
      <alignment horizontal="center" vertical="center"/>
      <protection hidden="1"/>
    </xf>
    <xf numFmtId="0" fontId="35" fillId="12" borderId="63" xfId="6" applyFont="1" applyFill="1" applyBorder="1" applyAlignment="1" applyProtection="1">
      <alignment horizontal="center" vertical="center" wrapText="1"/>
      <protection hidden="1"/>
    </xf>
    <xf numFmtId="0" fontId="35" fillId="12" borderId="40" xfId="6" applyFont="1" applyFill="1" applyBorder="1" applyAlignment="1" applyProtection="1">
      <alignment horizontal="center" vertical="center" wrapText="1"/>
      <protection hidden="1"/>
    </xf>
    <xf numFmtId="192" fontId="35" fillId="12" borderId="8" xfId="6" applyNumberFormat="1" applyFont="1" applyFill="1" applyBorder="1" applyAlignment="1" applyProtection="1">
      <alignment horizontal="center" vertical="center" wrapText="1"/>
      <protection hidden="1"/>
    </xf>
    <xf numFmtId="0" fontId="35" fillId="12" borderId="11" xfId="6" applyFont="1" applyFill="1" applyBorder="1" applyAlignment="1" applyProtection="1">
      <alignment vertical="center" textRotation="90" wrapText="1"/>
      <protection hidden="1"/>
    </xf>
    <xf numFmtId="193" fontId="35" fillId="12" borderId="9" xfId="6" applyNumberFormat="1" applyFont="1" applyFill="1" applyBorder="1" applyAlignment="1" applyProtection="1">
      <alignment horizontal="center" vertical="center" wrapText="1"/>
      <protection hidden="1"/>
    </xf>
    <xf numFmtId="192" fontId="35" fillId="12" borderId="25" xfId="6" applyNumberFormat="1" applyFont="1" applyFill="1" applyBorder="1" applyAlignment="1" applyProtection="1">
      <alignment horizontal="center" vertical="center" shrinkToFit="1"/>
      <protection hidden="1"/>
    </xf>
    <xf numFmtId="192" fontId="35" fillId="12" borderId="13" xfId="6" applyNumberFormat="1" applyFont="1" applyFill="1" applyBorder="1" applyAlignment="1" applyProtection="1">
      <alignment horizontal="center" vertical="center" shrinkToFit="1"/>
      <protection hidden="1"/>
    </xf>
    <xf numFmtId="0" fontId="35" fillId="12" borderId="2" xfId="6" applyFont="1" applyFill="1" applyBorder="1" applyAlignment="1" applyProtection="1">
      <alignment horizontal="distributed" vertical="center" justifyLastLine="1"/>
      <protection hidden="1"/>
    </xf>
    <xf numFmtId="0" fontId="35" fillId="12" borderId="2" xfId="6" applyFont="1" applyFill="1" applyBorder="1" applyAlignment="1" applyProtection="1">
      <alignment horizontal="center" vertical="center"/>
      <protection hidden="1"/>
    </xf>
    <xf numFmtId="0" fontId="35" fillId="12" borderId="3" xfId="6" applyFont="1" applyFill="1" applyBorder="1" applyAlignment="1" applyProtection="1">
      <alignment horizontal="center" vertical="center" wrapText="1"/>
      <protection hidden="1"/>
    </xf>
    <xf numFmtId="0" fontId="35" fillId="12" borderId="4" xfId="6" applyFont="1" applyFill="1" applyBorder="1" applyAlignment="1" applyProtection="1">
      <alignment horizontal="center" vertical="center" wrapText="1"/>
      <protection hidden="1"/>
    </xf>
    <xf numFmtId="192" fontId="35" fillId="12" borderId="1" xfId="6" applyNumberFormat="1" applyFont="1" applyFill="1" applyBorder="1" applyAlignment="1" applyProtection="1">
      <alignment horizontal="center" vertical="center" wrapText="1"/>
      <protection hidden="1"/>
    </xf>
    <xf numFmtId="0" fontId="35" fillId="12" borderId="57" xfId="6" applyFont="1" applyFill="1" applyBorder="1" applyAlignment="1" applyProtection="1">
      <alignment vertical="center" textRotation="90" wrapText="1"/>
      <protection hidden="1"/>
    </xf>
    <xf numFmtId="193" fontId="35" fillId="12" borderId="2" xfId="6" applyNumberFormat="1" applyFont="1" applyFill="1" applyBorder="1" applyAlignment="1" applyProtection="1">
      <alignment horizontal="center" vertical="center" wrapText="1"/>
      <protection hidden="1"/>
    </xf>
    <xf numFmtId="192" fontId="35" fillId="12" borderId="69" xfId="6" applyNumberFormat="1" applyFont="1" applyFill="1" applyBorder="1" applyAlignment="1" applyProtection="1">
      <alignment horizontal="center" vertical="center" shrinkToFit="1"/>
      <protection hidden="1"/>
    </xf>
    <xf numFmtId="192" fontId="35" fillId="12" borderId="20" xfId="6" applyNumberFormat="1" applyFont="1" applyFill="1" applyBorder="1" applyAlignment="1" applyProtection="1">
      <alignment horizontal="center" vertical="center" shrinkToFit="1"/>
      <protection hidden="1"/>
    </xf>
    <xf numFmtId="0" fontId="35" fillId="12" borderId="115" xfId="6" applyFont="1" applyFill="1" applyBorder="1" applyAlignment="1" applyProtection="1">
      <alignment horizontal="distributed" vertical="center" justifyLastLine="1"/>
      <protection hidden="1"/>
    </xf>
    <xf numFmtId="0" fontId="37" fillId="12" borderId="115" xfId="6" applyFont="1" applyFill="1" applyBorder="1" applyAlignment="1" applyProtection="1">
      <alignment horizontal="center" vertical="center"/>
      <protection hidden="1"/>
    </xf>
    <xf numFmtId="0" fontId="35" fillId="12" borderId="119" xfId="6" applyFont="1" applyFill="1" applyBorder="1" applyAlignment="1" applyProtection="1">
      <alignment horizontal="center" vertical="center" wrapText="1"/>
      <protection hidden="1"/>
    </xf>
    <xf numFmtId="0" fontId="37" fillId="12" borderId="120" xfId="6" applyFont="1" applyFill="1" applyBorder="1" applyAlignment="1" applyProtection="1">
      <alignment horizontal="center" vertical="center" wrapText="1"/>
      <protection hidden="1"/>
    </xf>
    <xf numFmtId="192" fontId="35" fillId="12" borderId="121" xfId="6" applyNumberFormat="1" applyFont="1" applyFill="1" applyBorder="1" applyAlignment="1" applyProtection="1">
      <alignment horizontal="center" vertical="center" shrinkToFit="1"/>
      <protection hidden="1"/>
    </xf>
    <xf numFmtId="192" fontId="35" fillId="12" borderId="122" xfId="6" applyNumberFormat="1" applyFont="1" applyFill="1" applyBorder="1" applyAlignment="1" applyProtection="1">
      <alignment horizontal="center" vertical="center" shrinkToFit="1"/>
      <protection hidden="1"/>
    </xf>
    <xf numFmtId="0" fontId="33" fillId="12" borderId="26" xfId="10" applyFont="1" applyFill="1" applyBorder="1" applyAlignment="1" applyProtection="1">
      <alignment vertical="center" wrapText="1"/>
      <protection hidden="1"/>
    </xf>
    <xf numFmtId="192" fontId="35" fillId="12" borderId="28" xfId="6" applyNumberFormat="1" applyFont="1" applyFill="1" applyBorder="1" applyAlignment="1" applyProtection="1">
      <alignment horizontal="center" vertical="center"/>
      <protection hidden="1"/>
    </xf>
    <xf numFmtId="194" fontId="35" fillId="12" borderId="128" xfId="6" applyNumberFormat="1" applyFont="1" applyFill="1" applyBorder="1" applyAlignment="1" applyProtection="1">
      <alignment horizontal="center" vertical="center" wrapText="1"/>
      <protection hidden="1"/>
    </xf>
    <xf numFmtId="192" fontId="33" fillId="12" borderId="129" xfId="10" applyNumberFormat="1" applyFont="1" applyFill="1" applyBorder="1" applyAlignment="1" applyProtection="1">
      <alignment horizontal="center" vertical="center" shrinkToFit="1"/>
      <protection hidden="1"/>
    </xf>
    <xf numFmtId="192" fontId="33" fillId="12" borderId="29" xfId="10" applyNumberFormat="1" applyFont="1" applyFill="1" applyBorder="1" applyAlignment="1" applyProtection="1">
      <alignment horizontal="center" vertical="center" shrinkToFit="1"/>
      <protection hidden="1"/>
    </xf>
    <xf numFmtId="0" fontId="35" fillId="12" borderId="57" xfId="6" applyFont="1" applyFill="1" applyBorder="1" applyAlignment="1" applyProtection="1">
      <alignment vertical="center" textRotation="255"/>
      <protection hidden="1"/>
    </xf>
    <xf numFmtId="0" fontId="35" fillId="12" borderId="70" xfId="6" applyFont="1" applyFill="1" applyBorder="1" applyAlignment="1" applyProtection="1">
      <alignment horizontal="distributed" vertical="center" indent="1"/>
      <protection hidden="1"/>
    </xf>
    <xf numFmtId="0" fontId="35" fillId="12" borderId="70" xfId="6" applyFont="1" applyFill="1" applyBorder="1" applyAlignment="1" applyProtection="1">
      <alignment horizontal="center" vertical="center"/>
      <protection hidden="1"/>
    </xf>
    <xf numFmtId="0" fontId="35" fillId="12" borderId="0" xfId="6" applyFont="1" applyFill="1" applyBorder="1" applyAlignment="1" applyProtection="1">
      <alignment horizontal="center" vertical="center"/>
      <protection hidden="1"/>
    </xf>
    <xf numFmtId="0" fontId="35" fillId="12" borderId="62" xfId="6" applyFont="1" applyFill="1" applyBorder="1" applyAlignment="1" applyProtection="1">
      <alignment horizontal="center" vertical="center"/>
      <protection hidden="1"/>
    </xf>
    <xf numFmtId="4" fontId="35" fillId="12" borderId="70" xfId="6" applyNumberFormat="1" applyFont="1" applyFill="1" applyBorder="1" applyAlignment="1" applyProtection="1">
      <alignment horizontal="center" vertical="center"/>
      <protection hidden="1"/>
    </xf>
    <xf numFmtId="194" fontId="35" fillId="12" borderId="70" xfId="6" applyNumberFormat="1" applyFont="1" applyFill="1" applyBorder="1" applyAlignment="1" applyProtection="1">
      <alignment horizontal="center" vertical="center" wrapText="1"/>
      <protection hidden="1"/>
    </xf>
    <xf numFmtId="192" fontId="33" fillId="12" borderId="132" xfId="10" applyNumberFormat="1" applyFont="1" applyFill="1" applyBorder="1" applyAlignment="1" applyProtection="1">
      <alignment horizontal="center" vertical="center"/>
      <protection hidden="1"/>
    </xf>
    <xf numFmtId="192" fontId="33" fillId="12" borderId="53" xfId="10" applyNumberFormat="1" applyFont="1" applyFill="1" applyBorder="1" applyAlignment="1" applyProtection="1">
      <alignment horizontal="center" vertical="center"/>
      <protection hidden="1"/>
    </xf>
    <xf numFmtId="0" fontId="37" fillId="12" borderId="38" xfId="6" applyFont="1" applyFill="1" applyBorder="1" applyAlignment="1" applyProtection="1">
      <alignment horizontal="center" vertical="center"/>
      <protection hidden="1"/>
    </xf>
    <xf numFmtId="0" fontId="35" fillId="12" borderId="51" xfId="6" applyFont="1" applyFill="1" applyBorder="1" applyAlignment="1" applyProtection="1">
      <alignment horizontal="center" vertical="center"/>
      <protection hidden="1"/>
    </xf>
    <xf numFmtId="0" fontId="37" fillId="12" borderId="52" xfId="6" applyFont="1" applyFill="1" applyBorder="1" applyAlignment="1" applyProtection="1">
      <alignment horizontal="center" vertical="center"/>
      <protection hidden="1"/>
    </xf>
    <xf numFmtId="192" fontId="35" fillId="12" borderId="38" xfId="6" applyNumberFormat="1" applyFont="1" applyFill="1" applyBorder="1" applyAlignment="1" applyProtection="1">
      <alignment horizontal="center" vertical="center" wrapText="1"/>
      <protection hidden="1"/>
    </xf>
    <xf numFmtId="0" fontId="35" fillId="12" borderId="27" xfId="6" applyFont="1" applyFill="1" applyBorder="1" applyAlignment="1" applyProtection="1">
      <alignment vertical="center" textRotation="90" wrapText="1"/>
      <protection hidden="1"/>
    </xf>
    <xf numFmtId="191" fontId="35" fillId="12" borderId="38" xfId="6" applyNumberFormat="1" applyFont="1" applyFill="1" applyBorder="1" applyAlignment="1" applyProtection="1">
      <alignment horizontal="center" vertical="center" wrapText="1"/>
      <protection hidden="1"/>
    </xf>
    <xf numFmtId="192" fontId="35" fillId="12" borderId="67" xfId="6" applyNumberFormat="1" applyFont="1" applyFill="1" applyBorder="1" applyAlignment="1" applyProtection="1">
      <alignment horizontal="center" vertical="center" shrinkToFit="1"/>
      <protection hidden="1"/>
    </xf>
    <xf numFmtId="192" fontId="35" fillId="12" borderId="39" xfId="6" applyNumberFormat="1" applyFont="1" applyFill="1" applyBorder="1" applyAlignment="1" applyProtection="1">
      <alignment horizontal="center" vertical="center" shrinkToFit="1"/>
      <protection hidden="1"/>
    </xf>
    <xf numFmtId="0" fontId="33" fillId="12" borderId="48" xfId="10" applyFont="1" applyFill="1" applyBorder="1" applyAlignment="1" applyProtection="1">
      <alignment vertical="center"/>
      <protection hidden="1"/>
    </xf>
    <xf numFmtId="192" fontId="35" fillId="12" borderId="128" xfId="6" applyNumberFormat="1" applyFont="1" applyFill="1" applyBorder="1" applyAlignment="1" applyProtection="1">
      <alignment vertical="center"/>
      <protection hidden="1"/>
    </xf>
    <xf numFmtId="192" fontId="35" fillId="12" borderId="136" xfId="6" applyNumberFormat="1" applyFont="1" applyFill="1" applyBorder="1" applyAlignment="1" applyProtection="1">
      <alignment vertical="center"/>
      <protection hidden="1"/>
    </xf>
    <xf numFmtId="192" fontId="35" fillId="12" borderId="126" xfId="6" applyNumberFormat="1" applyFont="1" applyFill="1" applyBorder="1" applyAlignment="1" applyProtection="1">
      <alignment vertical="center"/>
      <protection hidden="1"/>
    </xf>
    <xf numFmtId="192" fontId="35" fillId="12" borderId="38" xfId="6" applyNumberFormat="1" applyFont="1" applyFill="1" applyBorder="1" applyAlignment="1" applyProtection="1">
      <alignment horizontal="center" vertical="center"/>
      <protection hidden="1"/>
    </xf>
    <xf numFmtId="0" fontId="31" fillId="0" borderId="37" xfId="10" applyBorder="1" applyAlignment="1" applyProtection="1">
      <alignment vertical="center"/>
      <protection hidden="1"/>
    </xf>
    <xf numFmtId="0" fontId="31" fillId="0" borderId="91" xfId="10" applyBorder="1" applyAlignment="1" applyProtection="1">
      <alignment vertical="center"/>
      <protection hidden="1"/>
    </xf>
    <xf numFmtId="195" fontId="33" fillId="3" borderId="67" xfId="10" applyNumberFormat="1" applyFont="1" applyFill="1" applyBorder="1" applyAlignment="1" applyProtection="1">
      <alignment horizontal="center" vertical="center" shrinkToFit="1"/>
      <protection hidden="1"/>
    </xf>
    <xf numFmtId="195" fontId="33" fillId="3" borderId="59" xfId="10" applyNumberFormat="1" applyFont="1" applyFill="1" applyBorder="1" applyAlignment="1" applyProtection="1">
      <alignment horizontal="center" vertical="center" shrinkToFit="1"/>
      <protection hidden="1"/>
    </xf>
    <xf numFmtId="0" fontId="0" fillId="0" borderId="1" xfId="0" applyBorder="1" applyAlignment="1">
      <alignment horizontal="center" vertical="center"/>
    </xf>
    <xf numFmtId="0" fontId="42" fillId="9" borderId="36" xfId="0" applyFont="1" applyFill="1"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6" fillId="17" borderId="1" xfId="0" applyFont="1" applyFill="1" applyBorder="1" applyAlignment="1">
      <alignment horizontal="center" vertical="center" wrapText="1"/>
    </xf>
    <xf numFmtId="38" fontId="0" fillId="17" borderId="1" xfId="1" applyFont="1" applyFill="1" applyBorder="1">
      <alignment vertical="center"/>
    </xf>
    <xf numFmtId="0" fontId="81" fillId="0" borderId="0" xfId="0" applyFont="1" applyAlignment="1">
      <alignment vertical="center"/>
    </xf>
    <xf numFmtId="14" fontId="81" fillId="0" borderId="0" xfId="0" applyNumberFormat="1" applyFont="1" applyAlignment="1">
      <alignment vertical="center"/>
    </xf>
    <xf numFmtId="0" fontId="42" fillId="9" borderId="45" xfId="0" applyFont="1" applyFill="1" applyBorder="1" applyAlignment="1">
      <alignment horizontal="center" vertical="center"/>
    </xf>
    <xf numFmtId="0" fontId="42" fillId="0" borderId="43" xfId="0" applyFont="1" applyBorder="1" applyAlignment="1">
      <alignment horizontal="left" vertical="center"/>
    </xf>
    <xf numFmtId="0" fontId="42" fillId="0" borderId="57" xfId="0" applyFont="1" applyBorder="1" applyAlignment="1">
      <alignment horizontal="left" vertical="center"/>
    </xf>
    <xf numFmtId="0" fontId="42" fillId="9" borderId="36" xfId="0" applyFont="1" applyFill="1" applyBorder="1" applyAlignment="1">
      <alignment horizontal="right" vertical="center"/>
    </xf>
    <xf numFmtId="0" fontId="42" fillId="9" borderId="37" xfId="0" applyFont="1" applyFill="1" applyBorder="1" applyAlignment="1">
      <alignment horizontal="right" vertical="center"/>
    </xf>
    <xf numFmtId="177" fontId="42" fillId="9" borderId="37" xfId="1" applyNumberFormat="1" applyFont="1" applyFill="1" applyBorder="1" applyAlignment="1">
      <alignment horizontal="right" vertical="center"/>
    </xf>
    <xf numFmtId="38" fontId="42" fillId="0" borderId="39" xfId="1" applyFont="1" applyFill="1" applyBorder="1" applyAlignment="1">
      <alignment horizontal="right" vertical="center"/>
    </xf>
    <xf numFmtId="0" fontId="42" fillId="0" borderId="64" xfId="0" applyFont="1" applyBorder="1" applyAlignment="1">
      <alignment horizontal="center" vertical="center"/>
    </xf>
    <xf numFmtId="0" fontId="42" fillId="0" borderId="64" xfId="0" applyFont="1" applyBorder="1" applyAlignment="1">
      <alignment horizontal="left" vertical="center"/>
    </xf>
    <xf numFmtId="0" fontId="42" fillId="0" borderId="50" xfId="0" applyFont="1" applyBorder="1" applyAlignment="1">
      <alignment horizontal="left" vertical="center"/>
    </xf>
    <xf numFmtId="0" fontId="42" fillId="0" borderId="5" xfId="0" applyFont="1" applyBorder="1" applyAlignment="1">
      <alignment horizontal="center" vertical="center"/>
    </xf>
    <xf numFmtId="0" fontId="42" fillId="0" borderId="5" xfId="0" applyFont="1" applyBorder="1" applyAlignment="1">
      <alignment horizontal="left" vertical="center"/>
    </xf>
    <xf numFmtId="0" fontId="6" fillId="0" borderId="1" xfId="0" applyFont="1" applyFill="1" applyBorder="1" applyAlignment="1">
      <alignment horizontal="center" vertical="center" wrapText="1"/>
    </xf>
    <xf numFmtId="0" fontId="7" fillId="3" borderId="0" xfId="0" applyFont="1" applyFill="1" applyAlignment="1">
      <alignment horizontal="left" vertical="center"/>
    </xf>
    <xf numFmtId="0" fontId="68" fillId="0" borderId="2" xfId="0" applyFont="1" applyBorder="1" applyAlignment="1">
      <alignment horizontal="center" vertical="center" shrinkToFit="1"/>
    </xf>
    <xf numFmtId="0" fontId="68" fillId="0" borderId="1" xfId="0" applyFont="1" applyBorder="1" applyAlignment="1">
      <alignment horizontal="left" vertical="center"/>
    </xf>
    <xf numFmtId="38" fontId="42" fillId="0" borderId="1" xfId="1" applyFont="1" applyBorder="1" applyAlignment="1">
      <alignment horizontal="left" vertical="center"/>
    </xf>
    <xf numFmtId="0" fontId="42" fillId="9" borderId="47" xfId="0" applyFont="1" applyFill="1" applyBorder="1" applyAlignment="1">
      <alignment horizontal="center" vertical="center"/>
    </xf>
    <xf numFmtId="0" fontId="0" fillId="0" borderId="16" xfId="0" applyBorder="1" applyAlignment="1">
      <alignment horizontal="left" vertical="center" wrapText="1"/>
    </xf>
    <xf numFmtId="0" fontId="0" fillId="0" borderId="14" xfId="0" applyBorder="1" applyAlignment="1">
      <alignment horizontal="center" vertical="center" wrapText="1"/>
    </xf>
    <xf numFmtId="0" fontId="10" fillId="0" borderId="0" xfId="2" applyBorder="1" applyAlignment="1" applyProtection="1">
      <alignment horizontal="center" vertical="center"/>
    </xf>
    <xf numFmtId="0" fontId="10" fillId="0" borderId="62" xfId="2" applyBorder="1" applyAlignment="1" applyProtection="1">
      <alignment horizontal="center" vertical="center"/>
    </xf>
    <xf numFmtId="0" fontId="10" fillId="0" borderId="62" xfId="2" applyBorder="1" applyAlignment="1" applyProtection="1">
      <alignment horizontal="left" vertical="center" wrapText="1"/>
    </xf>
    <xf numFmtId="0" fontId="48" fillId="10" borderId="0" xfId="0" applyFont="1" applyFill="1" applyAlignment="1">
      <alignment vertical="center"/>
    </xf>
    <xf numFmtId="0" fontId="35" fillId="12" borderId="97" xfId="6" applyFont="1" applyFill="1" applyBorder="1" applyAlignment="1" applyProtection="1">
      <alignment horizontal="center" vertical="center" wrapText="1"/>
      <protection hidden="1"/>
    </xf>
    <xf numFmtId="196" fontId="35" fillId="12" borderId="135" xfId="6" applyNumberFormat="1" applyFont="1" applyFill="1" applyBorder="1" applyAlignment="1" applyProtection="1">
      <alignment horizontal="center" vertical="center" shrinkToFit="1"/>
      <protection locked="0"/>
    </xf>
    <xf numFmtId="196" fontId="35" fillId="12" borderId="134" xfId="6" applyNumberFormat="1" applyFont="1" applyFill="1" applyBorder="1" applyAlignment="1" applyProtection="1">
      <alignment horizontal="center" vertical="center" shrinkToFit="1"/>
      <protection locked="0"/>
    </xf>
    <xf numFmtId="196" fontId="35" fillId="0" borderId="133" xfId="11" applyNumberFormat="1" applyFont="1" applyFill="1" applyBorder="1" applyAlignment="1" applyProtection="1">
      <alignment horizontal="center" vertical="center" shrinkToFit="1"/>
      <protection locked="0"/>
    </xf>
    <xf numFmtId="196" fontId="35" fillId="12" borderId="131" xfId="6" applyNumberFormat="1" applyFont="1" applyFill="1" applyBorder="1" applyAlignment="1" applyProtection="1">
      <alignment horizontal="center" vertical="center"/>
      <protection hidden="1"/>
    </xf>
    <xf numFmtId="196" fontId="35" fillId="12" borderId="0" xfId="6" applyNumberFormat="1" applyFont="1" applyFill="1" applyBorder="1" applyAlignment="1" applyProtection="1">
      <alignment horizontal="center" vertical="center"/>
      <protection hidden="1"/>
    </xf>
    <xf numFmtId="196" fontId="35" fillId="12" borderId="130" xfId="11" applyNumberFormat="1" applyFont="1" applyFill="1" applyBorder="1" applyAlignment="1" applyProtection="1">
      <alignment horizontal="center" vertical="center"/>
      <protection hidden="1"/>
    </xf>
    <xf numFmtId="196" fontId="35" fillId="0" borderId="118" xfId="6" applyNumberFormat="1" applyFont="1" applyFill="1" applyBorder="1" applyAlignment="1" applyProtection="1">
      <alignment horizontal="center" vertical="center" shrinkToFit="1"/>
      <protection locked="0"/>
    </xf>
    <xf numFmtId="196" fontId="35" fillId="0" borderId="117" xfId="6" applyNumberFormat="1" applyFont="1" applyFill="1" applyBorder="1" applyAlignment="1" applyProtection="1">
      <alignment horizontal="center" vertical="center" shrinkToFit="1"/>
      <protection locked="0"/>
    </xf>
    <xf numFmtId="196" fontId="35" fillId="0" borderId="116" xfId="11" applyNumberFormat="1" applyFont="1" applyFill="1" applyBorder="1" applyAlignment="1" applyProtection="1">
      <alignment horizontal="center" vertical="center" shrinkToFit="1"/>
      <protection locked="0"/>
    </xf>
    <xf numFmtId="196" fontId="35" fillId="0" borderId="114" xfId="6" applyNumberFormat="1" applyFont="1" applyFill="1" applyBorder="1" applyAlignment="1" applyProtection="1">
      <alignment horizontal="center" vertical="center" shrinkToFit="1"/>
      <protection locked="0"/>
    </xf>
    <xf numFmtId="196" fontId="35" fillId="0" borderId="113" xfId="6" applyNumberFormat="1" applyFont="1" applyFill="1" applyBorder="1" applyAlignment="1" applyProtection="1">
      <alignment horizontal="center" vertical="center" shrinkToFit="1"/>
      <protection locked="0"/>
    </xf>
    <xf numFmtId="196" fontId="35" fillId="0" borderId="112" xfId="11" applyNumberFormat="1" applyFont="1" applyFill="1" applyBorder="1" applyAlignment="1" applyProtection="1">
      <alignment horizontal="center" vertical="center" shrinkToFit="1"/>
      <protection locked="0"/>
    </xf>
    <xf numFmtId="196" fontId="35" fillId="0" borderId="111" xfId="6" applyNumberFormat="1" applyFont="1" applyFill="1" applyBorder="1" applyAlignment="1" applyProtection="1">
      <alignment horizontal="center" vertical="center" shrinkToFit="1"/>
      <protection locked="0"/>
    </xf>
    <xf numFmtId="196" fontId="35" fillId="0" borderId="110" xfId="6" applyNumberFormat="1" applyFont="1" applyFill="1" applyBorder="1" applyAlignment="1" applyProtection="1">
      <alignment horizontal="center" vertical="center" shrinkToFit="1"/>
      <protection locked="0"/>
    </xf>
    <xf numFmtId="196" fontId="35" fillId="0" borderId="109" xfId="11" applyNumberFormat="1" applyFont="1" applyFill="1" applyBorder="1" applyAlignment="1" applyProtection="1">
      <alignment horizontal="center" vertical="center" shrinkToFit="1"/>
      <protection locked="0"/>
    </xf>
    <xf numFmtId="0" fontId="86" fillId="0" borderId="140" xfId="2" applyFont="1" applyBorder="1" applyAlignment="1" applyProtection="1">
      <alignment vertical="center"/>
    </xf>
    <xf numFmtId="0" fontId="86" fillId="0" borderId="140" xfId="2" applyFont="1" applyBorder="1" applyProtection="1">
      <alignment vertical="center"/>
    </xf>
    <xf numFmtId="0" fontId="86" fillId="0" borderId="140" xfId="2" applyFont="1" applyBorder="1" applyAlignment="1" applyProtection="1">
      <alignment vertical="center" wrapText="1"/>
    </xf>
    <xf numFmtId="0" fontId="86" fillId="0" borderId="140" xfId="2" applyFont="1" applyBorder="1" applyAlignment="1" applyProtection="1">
      <alignment horizontal="center" vertical="center"/>
    </xf>
    <xf numFmtId="0" fontId="23" fillId="0" borderId="19" xfId="2" applyFont="1" applyBorder="1" applyAlignment="1" applyProtection="1">
      <alignment vertical="center"/>
    </xf>
    <xf numFmtId="0" fontId="23" fillId="0" borderId="19" xfId="2" applyFont="1" applyBorder="1" applyProtection="1">
      <alignment vertical="center"/>
    </xf>
    <xf numFmtId="0" fontId="23" fillId="0" borderId="19" xfId="2" applyFont="1" applyBorder="1" applyAlignment="1" applyProtection="1">
      <alignment vertical="center" wrapText="1"/>
    </xf>
    <xf numFmtId="0" fontId="23" fillId="0" borderId="19" xfId="2" applyFont="1" applyBorder="1" applyAlignment="1" applyProtection="1">
      <alignment horizontal="center" vertical="center"/>
    </xf>
    <xf numFmtId="0" fontId="23" fillId="0" borderId="1" xfId="2" applyFont="1" applyBorder="1" applyAlignment="1" applyProtection="1">
      <alignment vertical="center"/>
    </xf>
    <xf numFmtId="0" fontId="23" fillId="0" borderId="1" xfId="2" applyFont="1" applyBorder="1" applyProtection="1">
      <alignment vertical="center"/>
    </xf>
    <xf numFmtId="0" fontId="23" fillId="0" borderId="1" xfId="2" applyFont="1" applyBorder="1" applyAlignment="1" applyProtection="1">
      <alignment vertical="center" wrapText="1"/>
    </xf>
    <xf numFmtId="0" fontId="23" fillId="0" borderId="1" xfId="2" applyFont="1" applyBorder="1" applyAlignment="1" applyProtection="1">
      <alignment horizontal="center" vertical="center"/>
    </xf>
    <xf numFmtId="0" fontId="23" fillId="0" borderId="141" xfId="2" applyFont="1" applyBorder="1" applyAlignment="1" applyProtection="1">
      <alignment vertical="center"/>
    </xf>
    <xf numFmtId="0" fontId="23" fillId="0" borderId="1" xfId="2" applyFont="1" applyBorder="1" applyAlignment="1" applyProtection="1">
      <alignment horizontal="center" vertical="center" wrapText="1"/>
    </xf>
    <xf numFmtId="0" fontId="23" fillId="0" borderId="2" xfId="2" applyFont="1" applyBorder="1" applyAlignment="1" applyProtection="1">
      <alignment vertical="center"/>
    </xf>
    <xf numFmtId="0" fontId="7" fillId="0" borderId="0" xfId="2" applyFont="1" applyFill="1" applyAlignment="1" applyProtection="1">
      <alignment horizontal="center" vertical="center" shrinkToFit="1"/>
    </xf>
    <xf numFmtId="0" fontId="10" fillId="0" borderId="34" xfId="2" applyBorder="1" applyProtection="1">
      <alignment vertical="center"/>
      <protection hidden="1"/>
    </xf>
    <xf numFmtId="0" fontId="10" fillId="0" borderId="47" xfId="2" applyBorder="1" applyProtection="1">
      <alignment vertical="center"/>
      <protection hidden="1"/>
    </xf>
    <xf numFmtId="0" fontId="25" fillId="0" borderId="70" xfId="2" applyFont="1" applyBorder="1" applyAlignment="1" applyProtection="1">
      <alignment vertical="center" textRotation="255"/>
      <protection hidden="1"/>
    </xf>
    <xf numFmtId="0" fontId="25" fillId="0" borderId="0" xfId="2" applyFont="1" applyBorder="1" applyAlignment="1" applyProtection="1">
      <alignment vertical="center" textRotation="255"/>
      <protection hidden="1"/>
    </xf>
    <xf numFmtId="0" fontId="25" fillId="0" borderId="62" xfId="2" applyFont="1" applyBorder="1" applyAlignment="1" applyProtection="1">
      <alignment vertical="center" textRotation="255"/>
      <protection hidden="1"/>
    </xf>
    <xf numFmtId="0" fontId="25" fillId="0" borderId="55" xfId="2" applyFont="1" applyBorder="1" applyAlignment="1" applyProtection="1">
      <alignment vertical="center" textRotation="255"/>
      <protection hidden="1"/>
    </xf>
    <xf numFmtId="0" fontId="25" fillId="0" borderId="5" xfId="2" applyFont="1" applyBorder="1" applyAlignment="1" applyProtection="1">
      <alignment vertical="center" textRotation="255"/>
      <protection hidden="1"/>
    </xf>
    <xf numFmtId="0" fontId="25" fillId="0" borderId="54" xfId="2" applyFont="1" applyBorder="1" applyAlignment="1" applyProtection="1">
      <alignment vertical="center" textRotation="255"/>
      <protection hidden="1"/>
    </xf>
    <xf numFmtId="188" fontId="10" fillId="0" borderId="0" xfId="2" applyNumberFormat="1" applyBorder="1" applyAlignment="1" applyProtection="1">
      <alignment horizontal="right" vertical="center" wrapText="1"/>
      <protection hidden="1"/>
    </xf>
    <xf numFmtId="0" fontId="10" fillId="0" borderId="0" xfId="2" quotePrefix="1" applyBorder="1" applyProtection="1">
      <alignment vertical="center"/>
      <protection hidden="1"/>
    </xf>
    <xf numFmtId="0" fontId="47" fillId="10" borderId="0" xfId="0" applyFont="1" applyFill="1" applyBorder="1" applyAlignment="1">
      <alignment horizontal="right" vertical="center"/>
    </xf>
    <xf numFmtId="0" fontId="47" fillId="10" borderId="163" xfId="0" applyFont="1" applyFill="1" applyBorder="1" applyAlignment="1">
      <alignment horizontal="right" vertical="center"/>
    </xf>
    <xf numFmtId="0" fontId="10" fillId="0" borderId="0" xfId="2" applyBorder="1" applyAlignment="1" applyProtection="1">
      <alignment horizontal="center" vertical="center"/>
      <protection hidden="1"/>
    </xf>
    <xf numFmtId="0" fontId="6" fillId="0" borderId="0" xfId="2" applyFont="1" applyBorder="1" applyAlignment="1" applyProtection="1">
      <alignment horizontal="left" vertical="center" shrinkToFit="1"/>
      <protection hidden="1"/>
    </xf>
    <xf numFmtId="0" fontId="6" fillId="0" borderId="0" xfId="2" applyFont="1" applyBorder="1" applyAlignment="1" applyProtection="1">
      <alignment horizontal="center" vertical="center"/>
      <protection hidden="1"/>
    </xf>
    <xf numFmtId="0" fontId="6" fillId="0" borderId="0" xfId="2" applyFont="1" applyProtection="1">
      <alignment vertical="center"/>
      <protection hidden="1"/>
    </xf>
    <xf numFmtId="0" fontId="67" fillId="0" borderId="0" xfId="2" applyFont="1" applyProtection="1">
      <alignment vertical="center"/>
      <protection hidden="1"/>
    </xf>
    <xf numFmtId="0" fontId="24" fillId="0" borderId="0" xfId="2" applyFont="1" applyAlignment="1" applyProtection="1">
      <alignment horizontal="right" vertical="center"/>
      <protection hidden="1"/>
    </xf>
    <xf numFmtId="0" fontId="10" fillId="0" borderId="0" xfId="2" applyAlignment="1" applyProtection="1">
      <alignment horizontal="center" vertical="center"/>
      <protection hidden="1"/>
    </xf>
    <xf numFmtId="0" fontId="6" fillId="0" borderId="0" xfId="2" applyFont="1" applyAlignment="1" applyProtection="1">
      <alignment horizontal="center" vertical="center"/>
      <protection hidden="1"/>
    </xf>
    <xf numFmtId="0" fontId="6" fillId="0" borderId="0" xfId="2" applyFont="1" applyAlignment="1" applyProtection="1">
      <alignment horizontal="left" vertical="center" shrinkToFit="1"/>
      <protection hidden="1"/>
    </xf>
    <xf numFmtId="0" fontId="10" fillId="0" borderId="0" xfId="2" applyFont="1" applyProtection="1">
      <alignment vertical="center"/>
      <protection hidden="1"/>
    </xf>
    <xf numFmtId="187" fontId="65" fillId="0" borderId="0" xfId="2" applyNumberFormat="1" applyFont="1" applyBorder="1" applyAlignment="1" applyProtection="1">
      <alignment horizontal="center" vertical="center"/>
      <protection hidden="1"/>
    </xf>
    <xf numFmtId="0" fontId="24" fillId="0" borderId="0" xfId="2" applyFont="1" applyProtection="1">
      <alignment vertical="center"/>
      <protection hidden="1"/>
    </xf>
    <xf numFmtId="0" fontId="24" fillId="0" borderId="0" xfId="2" applyFont="1" applyBorder="1" applyProtection="1">
      <alignment vertical="center"/>
      <protection hidden="1"/>
    </xf>
    <xf numFmtId="0" fontId="24" fillId="0" borderId="70" xfId="2" applyFont="1" applyBorder="1" applyAlignment="1" applyProtection="1">
      <alignment horizontal="center" vertical="center"/>
      <protection hidden="1"/>
    </xf>
    <xf numFmtId="0" fontId="4" fillId="0" borderId="0" xfId="2" applyFont="1" applyBorder="1" applyAlignment="1" applyProtection="1">
      <alignment horizontal="center" vertical="center"/>
      <protection hidden="1"/>
    </xf>
    <xf numFmtId="12" fontId="56" fillId="0" borderId="0" xfId="2" applyNumberFormat="1" applyFont="1" applyBorder="1" applyAlignment="1" applyProtection="1">
      <alignment horizontal="center" vertical="center"/>
      <protection hidden="1"/>
    </xf>
    <xf numFmtId="0" fontId="4" fillId="0" borderId="0" xfId="2" applyFont="1" applyBorder="1" applyAlignment="1" applyProtection="1">
      <alignment vertical="center"/>
      <protection hidden="1"/>
    </xf>
    <xf numFmtId="187" fontId="56" fillId="0" borderId="0" xfId="2" applyNumberFormat="1" applyFont="1" applyBorder="1" applyAlignment="1" applyProtection="1">
      <alignment horizontal="center" vertical="center"/>
      <protection hidden="1"/>
    </xf>
    <xf numFmtId="0" fontId="4" fillId="0" borderId="0" xfId="2" applyFont="1" applyBorder="1" applyProtection="1">
      <alignment vertical="center"/>
      <protection hidden="1"/>
    </xf>
    <xf numFmtId="0" fontId="4" fillId="0" borderId="0" xfId="2" applyFont="1" applyProtection="1">
      <alignment vertical="center"/>
      <protection hidden="1"/>
    </xf>
    <xf numFmtId="0" fontId="24" fillId="0" borderId="0" xfId="2" applyFont="1" applyBorder="1" applyAlignment="1" applyProtection="1">
      <alignment horizontal="center" vertical="center"/>
      <protection hidden="1"/>
    </xf>
    <xf numFmtId="12" fontId="65" fillId="0" borderId="0" xfId="2" applyNumberFormat="1" applyFont="1" applyBorder="1" applyAlignment="1" applyProtection="1">
      <alignment horizontal="center" vertical="center"/>
      <protection hidden="1"/>
    </xf>
    <xf numFmtId="0" fontId="24" fillId="0" borderId="0" xfId="2" applyFont="1" applyBorder="1" applyAlignment="1" applyProtection="1">
      <alignment vertical="center"/>
      <protection hidden="1"/>
    </xf>
    <xf numFmtId="0" fontId="44" fillId="10" borderId="73" xfId="0" applyFont="1" applyFill="1" applyBorder="1" applyAlignment="1">
      <alignment horizontal="center" vertical="center"/>
    </xf>
    <xf numFmtId="0" fontId="44" fillId="10" borderId="163" xfId="0" applyFont="1" applyFill="1" applyBorder="1" applyAlignment="1">
      <alignment horizontal="center" vertical="center"/>
    </xf>
    <xf numFmtId="0" fontId="44" fillId="11" borderId="163" xfId="0" applyFont="1" applyFill="1" applyBorder="1" applyAlignment="1" applyProtection="1">
      <alignment vertical="center"/>
      <protection locked="0"/>
    </xf>
    <xf numFmtId="0" fontId="42" fillId="0" borderId="166" xfId="0" applyFont="1" applyFill="1" applyBorder="1" applyAlignment="1" applyProtection="1">
      <alignment vertical="center"/>
      <protection locked="0"/>
    </xf>
    <xf numFmtId="0" fontId="42" fillId="0" borderId="167" xfId="0" applyFont="1" applyFill="1" applyBorder="1" applyAlignment="1" applyProtection="1">
      <alignment vertical="center"/>
      <protection locked="0"/>
    </xf>
    <xf numFmtId="0" fontId="42" fillId="10" borderId="80" xfId="0" applyFont="1" applyFill="1" applyBorder="1" applyAlignment="1">
      <alignment horizontal="center" vertical="center"/>
    </xf>
    <xf numFmtId="0" fontId="42" fillId="11" borderId="166" xfId="0" applyFont="1" applyFill="1" applyBorder="1" applyAlignment="1" applyProtection="1">
      <alignment horizontal="right" vertical="center"/>
      <protection locked="0"/>
    </xf>
    <xf numFmtId="0" fontId="42" fillId="11" borderId="168" xfId="0" applyFont="1" applyFill="1" applyBorder="1" applyAlignment="1" applyProtection="1">
      <alignment horizontal="right" vertical="center"/>
      <protection locked="0"/>
    </xf>
    <xf numFmtId="0" fontId="42" fillId="11" borderId="167" xfId="0" applyFont="1" applyFill="1" applyBorder="1" applyAlignment="1" applyProtection="1">
      <alignment horizontal="right" vertical="center"/>
      <protection locked="0"/>
    </xf>
    <xf numFmtId="0" fontId="42" fillId="10" borderId="169" xfId="0" applyFont="1" applyFill="1" applyBorder="1" applyAlignment="1">
      <alignment vertical="center"/>
    </xf>
    <xf numFmtId="0" fontId="48" fillId="10" borderId="0" xfId="0" applyFont="1" applyFill="1" applyAlignment="1">
      <alignment horizontal="right" vertical="center"/>
    </xf>
    <xf numFmtId="0" fontId="10" fillId="0" borderId="71" xfId="2" applyBorder="1" applyProtection="1">
      <alignment vertical="center"/>
    </xf>
    <xf numFmtId="0" fontId="10" fillId="0" borderId="171" xfId="2" applyBorder="1" applyProtection="1">
      <alignment vertical="center"/>
    </xf>
    <xf numFmtId="187" fontId="10" fillId="0" borderId="171" xfId="2" applyNumberFormat="1" applyBorder="1" applyProtection="1">
      <alignment vertical="center"/>
    </xf>
    <xf numFmtId="0" fontId="10" fillId="0" borderId="70" xfId="2" applyBorder="1" applyProtection="1">
      <alignment vertical="center"/>
    </xf>
    <xf numFmtId="0" fontId="0" fillId="0" borderId="1" xfId="0" applyBorder="1" applyAlignment="1">
      <alignment horizontal="center" vertical="center"/>
    </xf>
    <xf numFmtId="0" fontId="42" fillId="10" borderId="6" xfId="0" applyFont="1" applyFill="1" applyBorder="1" applyAlignment="1">
      <alignment horizontal="center" vertical="center"/>
    </xf>
    <xf numFmtId="0" fontId="43" fillId="10" borderId="0" xfId="0" applyFont="1" applyFill="1" applyAlignment="1">
      <alignment horizontal="lef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100" fillId="10" borderId="0" xfId="0" applyFont="1" applyFill="1" applyAlignment="1">
      <alignment vertical="center"/>
    </xf>
    <xf numFmtId="0" fontId="101" fillId="10" borderId="0" xfId="0" applyFont="1" applyFill="1" applyAlignment="1">
      <alignment vertical="center"/>
    </xf>
    <xf numFmtId="0" fontId="56" fillId="9" borderId="8" xfId="0" applyFont="1" applyFill="1" applyBorder="1" applyAlignment="1">
      <alignment vertical="center"/>
    </xf>
    <xf numFmtId="0" fontId="39" fillId="10" borderId="0" xfId="0" applyFont="1" applyFill="1" applyBorder="1" applyAlignment="1">
      <alignment vertical="center"/>
    </xf>
    <xf numFmtId="0" fontId="42" fillId="10" borderId="148" xfId="0" applyFont="1" applyFill="1" applyBorder="1" applyAlignment="1">
      <alignment vertical="center"/>
    </xf>
    <xf numFmtId="0" fontId="42" fillId="10" borderId="148" xfId="0" applyFont="1" applyFill="1" applyBorder="1" applyAlignment="1">
      <alignment horizontal="center" vertical="center"/>
    </xf>
    <xf numFmtId="0" fontId="54" fillId="10" borderId="33" xfId="0" applyFont="1" applyFill="1" applyBorder="1" applyAlignment="1">
      <alignment horizontal="center" vertical="center"/>
    </xf>
    <xf numFmtId="0" fontId="54" fillId="10" borderId="34" xfId="0" applyFont="1" applyFill="1" applyBorder="1" applyAlignment="1">
      <alignment horizontal="center" vertical="center"/>
    </xf>
    <xf numFmtId="0" fontId="54" fillId="10" borderId="35" xfId="0" applyFont="1" applyFill="1" applyBorder="1" applyAlignment="1">
      <alignment vertical="center"/>
    </xf>
    <xf numFmtId="31" fontId="5" fillId="0" borderId="0" xfId="0" applyNumberFormat="1" applyFont="1" applyAlignment="1">
      <alignment vertical="center"/>
    </xf>
    <xf numFmtId="0" fontId="7" fillId="19" borderId="0" xfId="0" applyFont="1" applyFill="1" applyAlignment="1">
      <alignment vertical="center"/>
    </xf>
    <xf numFmtId="0" fontId="6" fillId="19" borderId="1" xfId="0" applyFont="1" applyFill="1" applyBorder="1" applyAlignment="1">
      <alignment horizontal="center" vertical="center" wrapText="1"/>
    </xf>
    <xf numFmtId="0" fontId="7" fillId="19" borderId="1" xfId="0" applyFont="1" applyFill="1" applyBorder="1" applyAlignment="1">
      <alignment vertical="center"/>
    </xf>
    <xf numFmtId="0" fontId="7" fillId="19" borderId="1" xfId="0" applyFont="1" applyFill="1" applyBorder="1" applyAlignment="1">
      <alignment vertical="center" wrapText="1"/>
    </xf>
    <xf numFmtId="0" fontId="7" fillId="0" borderId="0" xfId="0" applyFont="1" applyFill="1" applyBorder="1" applyAlignment="1">
      <alignment horizontal="left" vertical="center"/>
    </xf>
    <xf numFmtId="0" fontId="7" fillId="0" borderId="0" xfId="0" applyFont="1" applyFill="1" applyBorder="1" applyAlignment="1">
      <alignment vertical="center"/>
    </xf>
    <xf numFmtId="0" fontId="0" fillId="0" borderId="0" xfId="0" applyFill="1" applyBorder="1" applyAlignment="1">
      <alignment vertical="center"/>
    </xf>
    <xf numFmtId="0" fontId="6" fillId="19" borderId="0" xfId="0" applyFont="1" applyFill="1" applyBorder="1" applyAlignment="1">
      <alignment horizontal="left" vertical="center"/>
    </xf>
    <xf numFmtId="0" fontId="12" fillId="19" borderId="0" xfId="0" applyFont="1" applyFill="1" applyBorder="1" applyAlignment="1">
      <alignment vertical="center"/>
    </xf>
    <xf numFmtId="0" fontId="12" fillId="19" borderId="0" xfId="0" applyFont="1" applyFill="1" applyBorder="1" applyAlignment="1">
      <alignment horizontal="left" vertical="center"/>
    </xf>
    <xf numFmtId="0" fontId="6" fillId="19" borderId="0" xfId="0" applyFont="1" applyFill="1" applyBorder="1" applyAlignment="1">
      <alignment vertical="center"/>
    </xf>
    <xf numFmtId="0" fontId="12" fillId="19" borderId="0" xfId="0" applyFont="1" applyFill="1" applyAlignment="1">
      <alignment vertical="center"/>
    </xf>
    <xf numFmtId="0" fontId="6" fillId="19" borderId="1" xfId="0" applyFont="1" applyFill="1" applyBorder="1" applyAlignment="1">
      <alignment horizontal="center" vertical="center"/>
    </xf>
    <xf numFmtId="0" fontId="6" fillId="19" borderId="1" xfId="0" applyFont="1" applyFill="1" applyBorder="1" applyAlignment="1">
      <alignment horizontal="left" vertical="center"/>
    </xf>
    <xf numFmtId="0" fontId="6" fillId="19" borderId="1" xfId="0" applyFont="1" applyFill="1" applyBorder="1" applyAlignment="1">
      <alignment vertical="center"/>
    </xf>
    <xf numFmtId="38" fontId="6" fillId="19" borderId="1" xfId="0" applyNumberFormat="1" applyFont="1" applyFill="1" applyBorder="1" applyAlignment="1">
      <alignment vertical="center"/>
    </xf>
    <xf numFmtId="38" fontId="6" fillId="19" borderId="1" xfId="0" applyNumberFormat="1" applyFont="1" applyFill="1" applyBorder="1" applyAlignment="1">
      <alignment horizontal="right" vertical="center"/>
    </xf>
    <xf numFmtId="0" fontId="6" fillId="19" borderId="1" xfId="0" applyFont="1" applyFill="1" applyBorder="1" applyAlignment="1">
      <alignment horizontal="left" vertical="center" wrapText="1"/>
    </xf>
    <xf numFmtId="0" fontId="6" fillId="0" borderId="0" xfId="0" applyFont="1" applyFill="1" applyBorder="1" applyAlignment="1">
      <alignment horizontal="left" vertical="center"/>
    </xf>
    <xf numFmtId="0" fontId="6" fillId="0" borderId="0" xfId="0" applyFont="1" applyFill="1" applyBorder="1" applyAlignment="1">
      <alignment vertical="center"/>
    </xf>
    <xf numFmtId="38" fontId="6" fillId="0" borderId="0" xfId="0" applyNumberFormat="1" applyFont="1" applyFill="1" applyBorder="1" applyAlignment="1">
      <alignment horizontal="right" vertical="center"/>
    </xf>
    <xf numFmtId="0" fontId="12" fillId="0" borderId="0" xfId="0" applyFont="1" applyFill="1" applyBorder="1" applyAlignment="1">
      <alignment vertical="center"/>
    </xf>
    <xf numFmtId="0" fontId="0" fillId="19" borderId="1" xfId="0" applyFill="1" applyBorder="1" applyAlignment="1">
      <alignment horizontal="center" vertical="center" wrapText="1"/>
    </xf>
    <xf numFmtId="38" fontId="0" fillId="19" borderId="1" xfId="1" applyFont="1" applyFill="1" applyBorder="1">
      <alignment vertical="center"/>
    </xf>
    <xf numFmtId="38" fontId="0" fillId="19" borderId="1" xfId="0" applyNumberFormat="1" applyFill="1" applyBorder="1" applyAlignment="1">
      <alignment vertical="center"/>
    </xf>
    <xf numFmtId="0" fontId="0" fillId="19" borderId="1" xfId="0" applyFill="1" applyBorder="1" applyAlignment="1">
      <alignment vertical="center"/>
    </xf>
    <xf numFmtId="2" fontId="0" fillId="19" borderId="1" xfId="0" applyNumberFormat="1" applyFill="1" applyBorder="1" applyAlignment="1">
      <alignment vertical="center"/>
    </xf>
    <xf numFmtId="0" fontId="4" fillId="19" borderId="0" xfId="0" applyFont="1" applyFill="1" applyBorder="1" applyAlignment="1">
      <alignment horizontal="left" vertical="center"/>
    </xf>
    <xf numFmtId="0" fontId="4" fillId="19" borderId="0" xfId="0" applyFont="1" applyFill="1" applyAlignment="1">
      <alignment vertical="center"/>
    </xf>
    <xf numFmtId="0" fontId="4" fillId="19" borderId="22" xfId="0" applyFont="1" applyFill="1" applyBorder="1" applyAlignment="1">
      <alignment horizontal="center" vertical="center"/>
    </xf>
    <xf numFmtId="0" fontId="4" fillId="19" borderId="8" xfId="0" applyFont="1" applyFill="1" applyBorder="1" applyAlignment="1">
      <alignment horizontal="center" vertical="center"/>
    </xf>
    <xf numFmtId="38" fontId="4" fillId="19" borderId="8" xfId="0" applyNumberFormat="1" applyFont="1" applyFill="1" applyBorder="1" applyAlignment="1">
      <alignment horizontal="right" vertical="center"/>
    </xf>
    <xf numFmtId="38" fontId="4" fillId="19" borderId="13" xfId="0" applyNumberFormat="1" applyFont="1" applyFill="1" applyBorder="1" applyAlignment="1">
      <alignment horizontal="right" vertical="center"/>
    </xf>
    <xf numFmtId="0" fontId="4" fillId="19" borderId="1" xfId="0" applyFont="1" applyFill="1" applyBorder="1" applyAlignment="1">
      <alignment horizontal="center" vertical="center"/>
    </xf>
    <xf numFmtId="38" fontId="4" fillId="19" borderId="1" xfId="0" applyNumberFormat="1" applyFont="1" applyFill="1" applyBorder="1" applyAlignment="1">
      <alignment horizontal="right" vertical="center"/>
    </xf>
    <xf numFmtId="38" fontId="4" fillId="19" borderId="17" xfId="0" applyNumberFormat="1" applyFont="1" applyFill="1" applyBorder="1" applyAlignment="1">
      <alignment horizontal="right" vertical="center"/>
    </xf>
    <xf numFmtId="0" fontId="4" fillId="19" borderId="33" xfId="0" applyFont="1" applyFill="1" applyBorder="1" applyAlignment="1">
      <alignment horizontal="center" vertical="center"/>
    </xf>
    <xf numFmtId="38" fontId="4" fillId="19" borderId="33" xfId="0" applyNumberFormat="1" applyFont="1" applyFill="1" applyBorder="1" applyAlignment="1">
      <alignment horizontal="right" vertical="center"/>
    </xf>
    <xf numFmtId="38" fontId="4" fillId="19" borderId="35" xfId="0" applyNumberFormat="1" applyFont="1" applyFill="1" applyBorder="1" applyAlignment="1">
      <alignment horizontal="right" vertical="center"/>
    </xf>
    <xf numFmtId="0" fontId="4" fillId="19" borderId="36" xfId="0" applyFont="1" applyFill="1" applyBorder="1" applyAlignment="1">
      <alignment horizontal="center" vertical="center"/>
    </xf>
    <xf numFmtId="38" fontId="4" fillId="19" borderId="37" xfId="0" applyNumberFormat="1" applyFont="1" applyFill="1" applyBorder="1" applyAlignment="1">
      <alignment horizontal="center" vertical="center"/>
    </xf>
    <xf numFmtId="38" fontId="4" fillId="19" borderId="39" xfId="0" applyNumberFormat="1" applyFont="1" applyFill="1" applyBorder="1" applyAlignment="1">
      <alignment horizontal="center" vertical="center"/>
    </xf>
    <xf numFmtId="0" fontId="4" fillId="19" borderId="31" xfId="0" applyFont="1" applyFill="1" applyBorder="1" applyAlignment="1">
      <alignment horizontal="center" vertical="center"/>
    </xf>
    <xf numFmtId="0" fontId="4" fillId="19" borderId="40" xfId="0" applyFont="1" applyFill="1" applyBorder="1" applyAlignment="1">
      <alignment horizontal="center" vertical="center"/>
    </xf>
    <xf numFmtId="38" fontId="4" fillId="19" borderId="25" xfId="1" applyFont="1" applyFill="1" applyBorder="1" applyAlignment="1">
      <alignment horizontal="right" vertical="center"/>
    </xf>
    <xf numFmtId="0" fontId="4" fillId="19" borderId="25" xfId="0" applyFont="1" applyFill="1" applyBorder="1" applyAlignment="1">
      <alignment horizontal="right" vertical="center"/>
    </xf>
    <xf numFmtId="38" fontId="4" fillId="19" borderId="76" xfId="1" applyFont="1" applyFill="1" applyBorder="1" applyAlignment="1">
      <alignment horizontal="right" vertical="center"/>
    </xf>
    <xf numFmtId="38" fontId="4" fillId="19" borderId="25" xfId="1" applyFont="1" applyFill="1" applyBorder="1" applyAlignment="1">
      <alignment horizontal="center" vertical="center"/>
    </xf>
    <xf numFmtId="0" fontId="4" fillId="19" borderId="4" xfId="0" applyFont="1" applyFill="1" applyBorder="1" applyAlignment="1">
      <alignment horizontal="center" vertical="center"/>
    </xf>
    <xf numFmtId="38" fontId="4" fillId="19" borderId="30" xfId="1" applyFont="1" applyFill="1" applyBorder="1" applyAlignment="1">
      <alignment horizontal="right" vertical="center"/>
    </xf>
    <xf numFmtId="0" fontId="4" fillId="19" borderId="30" xfId="0" applyFont="1" applyFill="1" applyBorder="1" applyAlignment="1">
      <alignment horizontal="right" vertical="center"/>
    </xf>
    <xf numFmtId="38" fontId="4" fillId="19" borderId="16" xfId="1" applyFont="1" applyFill="1" applyBorder="1" applyAlignment="1">
      <alignment horizontal="right" vertical="center"/>
    </xf>
    <xf numFmtId="38" fontId="4" fillId="19" borderId="30" xfId="1" applyFont="1" applyFill="1" applyBorder="1" applyAlignment="1">
      <alignment horizontal="center" vertical="center"/>
    </xf>
    <xf numFmtId="176" fontId="4" fillId="19" borderId="30" xfId="0" applyNumberFormat="1" applyFont="1" applyFill="1" applyBorder="1" applyAlignment="1">
      <alignment horizontal="right" vertical="center"/>
    </xf>
    <xf numFmtId="0" fontId="4" fillId="19" borderId="56" xfId="0" applyFont="1" applyFill="1" applyBorder="1" applyAlignment="1">
      <alignment horizontal="center" vertical="center"/>
    </xf>
    <xf numFmtId="38" fontId="4" fillId="19" borderId="31" xfId="1" applyFont="1" applyFill="1" applyBorder="1" applyAlignment="1">
      <alignment horizontal="right" vertical="center"/>
    </xf>
    <xf numFmtId="0" fontId="4" fillId="19" borderId="31" xfId="0" applyFont="1" applyFill="1" applyBorder="1" applyAlignment="1">
      <alignment horizontal="right" vertical="center"/>
    </xf>
    <xf numFmtId="38" fontId="4" fillId="19" borderId="61" xfId="1" applyFont="1" applyFill="1" applyBorder="1" applyAlignment="1">
      <alignment horizontal="right" vertical="center"/>
    </xf>
    <xf numFmtId="0" fontId="103" fillId="19" borderId="36" xfId="0" applyFont="1" applyFill="1" applyBorder="1" applyAlignment="1">
      <alignment horizontal="center" vertical="center"/>
    </xf>
    <xf numFmtId="38" fontId="103" fillId="19" borderId="37" xfId="0" applyNumberFormat="1" applyFont="1" applyFill="1" applyBorder="1" applyAlignment="1">
      <alignment horizontal="center" vertical="center"/>
    </xf>
    <xf numFmtId="38" fontId="103" fillId="19" borderId="39" xfId="0" applyNumberFormat="1" applyFont="1" applyFill="1" applyBorder="1" applyAlignment="1">
      <alignment horizontal="center" vertical="center"/>
    </xf>
    <xf numFmtId="38" fontId="103" fillId="19" borderId="67" xfId="1" applyFont="1" applyFill="1" applyBorder="1" applyAlignment="1">
      <alignment horizontal="center" vertical="center"/>
    </xf>
    <xf numFmtId="0" fontId="4" fillId="2" borderId="67" xfId="0" applyFont="1" applyFill="1" applyBorder="1" applyAlignment="1">
      <alignment horizontal="center" vertical="center"/>
    </xf>
    <xf numFmtId="38" fontId="103" fillId="19" borderId="59" xfId="1" applyFont="1" applyFill="1" applyBorder="1" applyAlignment="1">
      <alignment horizontal="right" vertical="center"/>
    </xf>
    <xf numFmtId="0" fontId="4" fillId="19" borderId="2" xfId="0" applyFont="1" applyFill="1" applyBorder="1" applyAlignment="1">
      <alignment horizontal="center" vertical="center"/>
    </xf>
    <xf numFmtId="0" fontId="4" fillId="19" borderId="34" xfId="0" applyFont="1" applyFill="1" applyBorder="1" applyAlignment="1">
      <alignment horizontal="center" vertical="center"/>
    </xf>
    <xf numFmtId="38" fontId="4" fillId="19" borderId="16" xfId="0" applyNumberFormat="1" applyFont="1" applyFill="1" applyBorder="1" applyAlignment="1">
      <alignment horizontal="right" vertical="center"/>
    </xf>
    <xf numFmtId="38" fontId="4" fillId="19" borderId="86" xfId="0" applyNumberFormat="1" applyFont="1" applyFill="1" applyBorder="1" applyAlignment="1">
      <alignment horizontal="right" vertical="center"/>
    </xf>
    <xf numFmtId="0" fontId="4" fillId="19" borderId="55" xfId="0" applyFont="1" applyFill="1" applyBorder="1" applyAlignment="1">
      <alignment horizontal="center" vertical="center"/>
    </xf>
    <xf numFmtId="38" fontId="4" fillId="19" borderId="19" xfId="0" applyNumberFormat="1" applyFont="1" applyFill="1" applyBorder="1" applyAlignment="1">
      <alignment horizontal="right" vertical="center"/>
    </xf>
    <xf numFmtId="38" fontId="4" fillId="19" borderId="172" xfId="0" applyNumberFormat="1" applyFont="1" applyFill="1" applyBorder="1" applyAlignment="1">
      <alignment horizontal="right" vertical="center"/>
    </xf>
    <xf numFmtId="0" fontId="4" fillId="19" borderId="10" xfId="0" applyFont="1" applyFill="1" applyBorder="1" applyAlignment="1">
      <alignment horizontal="center" vertical="center"/>
    </xf>
    <xf numFmtId="38" fontId="4" fillId="19" borderId="11" xfId="0" applyNumberFormat="1" applyFont="1" applyFill="1" applyBorder="1" applyAlignment="1">
      <alignment horizontal="center" vertical="center"/>
    </xf>
    <xf numFmtId="38" fontId="4" fillId="19" borderId="12" xfId="0" applyNumberFormat="1" applyFont="1" applyFill="1" applyBorder="1" applyAlignment="1">
      <alignment horizontal="center" vertical="center"/>
    </xf>
    <xf numFmtId="0" fontId="7" fillId="0" borderId="0" xfId="0" applyFont="1" applyFill="1" applyAlignment="1">
      <alignment horizontal="left" vertical="center"/>
    </xf>
    <xf numFmtId="0" fontId="7" fillId="0" borderId="0" xfId="0" applyFont="1" applyBorder="1" applyAlignment="1">
      <alignment horizontal="left" vertical="center"/>
    </xf>
    <xf numFmtId="0" fontId="7" fillId="0" borderId="0" xfId="0" applyFont="1" applyBorder="1" applyAlignment="1">
      <alignment vertical="center"/>
    </xf>
    <xf numFmtId="0" fontId="4" fillId="19" borderId="0" xfId="0" applyFont="1" applyFill="1" applyBorder="1" applyAlignment="1">
      <alignment vertical="center"/>
    </xf>
    <xf numFmtId="0" fontId="0" fillId="0" borderId="0" xfId="0" applyFill="1"/>
    <xf numFmtId="0" fontId="7" fillId="0" borderId="0" xfId="0" applyFont="1" applyBorder="1" applyAlignment="1">
      <alignment horizontal="center" vertical="center"/>
    </xf>
    <xf numFmtId="0" fontId="4" fillId="0" borderId="0" xfId="0" applyFont="1" applyFill="1" applyBorder="1" applyAlignment="1">
      <alignment horizontal="center" vertical="center"/>
    </xf>
    <xf numFmtId="0" fontId="103" fillId="0" borderId="0" xfId="0" applyFont="1" applyFill="1" applyBorder="1" applyAlignment="1">
      <alignment horizontal="center" vertical="center"/>
    </xf>
    <xf numFmtId="38" fontId="103"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0" fillId="0" borderId="0" xfId="0" applyFill="1" applyAlignment="1">
      <alignment vertical="center"/>
    </xf>
    <xf numFmtId="0" fontId="4" fillId="19" borderId="19" xfId="0" applyFont="1" applyFill="1" applyBorder="1" applyAlignment="1">
      <alignment horizontal="center" vertical="center"/>
    </xf>
    <xf numFmtId="38" fontId="4" fillId="19" borderId="20" xfId="0" applyNumberFormat="1" applyFont="1" applyFill="1" applyBorder="1" applyAlignment="1">
      <alignment horizontal="right" vertical="center"/>
    </xf>
    <xf numFmtId="0" fontId="104" fillId="0" borderId="0" xfId="0" applyFont="1" applyAlignment="1">
      <alignment vertical="center"/>
    </xf>
    <xf numFmtId="38" fontId="4" fillId="19" borderId="25" xfId="0" applyNumberFormat="1" applyFont="1" applyFill="1" applyBorder="1" applyAlignment="1">
      <alignment horizontal="right" vertical="center"/>
    </xf>
    <xf numFmtId="38" fontId="4" fillId="19" borderId="30" xfId="0" applyNumberFormat="1" applyFont="1" applyFill="1" applyBorder="1" applyAlignment="1">
      <alignment horizontal="right" vertical="center"/>
    </xf>
    <xf numFmtId="177" fontId="4" fillId="19" borderId="25" xfId="1" applyNumberFormat="1" applyFont="1" applyFill="1" applyBorder="1" applyAlignment="1">
      <alignment horizontal="right" vertical="center"/>
    </xf>
    <xf numFmtId="177" fontId="4" fillId="19" borderId="30" xfId="1" applyNumberFormat="1" applyFont="1" applyFill="1" applyBorder="1" applyAlignment="1">
      <alignment horizontal="right" vertical="center"/>
    </xf>
    <xf numFmtId="0" fontId="7" fillId="19" borderId="1" xfId="0" applyFont="1" applyFill="1" applyBorder="1" applyAlignment="1">
      <alignment horizontal="center" vertical="center"/>
    </xf>
    <xf numFmtId="0" fontId="12" fillId="19" borderId="1" xfId="0" applyFont="1" applyFill="1" applyBorder="1" applyAlignment="1">
      <alignment horizontal="center" vertical="center" wrapText="1"/>
    </xf>
    <xf numFmtId="0" fontId="7" fillId="19" borderId="1" xfId="0" applyFont="1" applyFill="1" applyBorder="1" applyAlignment="1">
      <alignment horizontal="center" vertical="center" wrapText="1"/>
    </xf>
    <xf numFmtId="38" fontId="4" fillId="19" borderId="25" xfId="0" applyNumberFormat="1" applyFont="1" applyFill="1" applyBorder="1" applyAlignment="1">
      <alignment horizontal="center" vertical="center"/>
    </xf>
    <xf numFmtId="38" fontId="4" fillId="19" borderId="30" xfId="0" applyNumberFormat="1" applyFont="1" applyFill="1" applyBorder="1" applyAlignment="1">
      <alignment horizontal="center" vertical="center"/>
    </xf>
    <xf numFmtId="0" fontId="68" fillId="9" borderId="22" xfId="0" applyFont="1" applyFill="1" applyBorder="1" applyAlignment="1">
      <alignment horizontal="center" vertical="center"/>
    </xf>
    <xf numFmtId="0" fontId="106" fillId="9" borderId="22" xfId="0" applyFont="1" applyFill="1" applyBorder="1" applyAlignment="1">
      <alignment horizontal="center" vertical="center"/>
    </xf>
    <xf numFmtId="197" fontId="0" fillId="0" borderId="0" xfId="0" applyNumberFormat="1" applyAlignment="1">
      <alignment horizontal="left"/>
    </xf>
    <xf numFmtId="0" fontId="0" fillId="0" borderId="3" xfId="0" applyBorder="1"/>
    <xf numFmtId="0" fontId="107" fillId="10" borderId="0" xfId="0" applyFont="1" applyFill="1" applyAlignment="1">
      <alignment vertical="center"/>
    </xf>
    <xf numFmtId="0" fontId="7" fillId="19" borderId="1" xfId="0" applyFont="1" applyFill="1" applyBorder="1" applyAlignment="1">
      <alignment horizontal="center"/>
    </xf>
    <xf numFmtId="38" fontId="7" fillId="19" borderId="1" xfId="0" applyNumberFormat="1" applyFont="1" applyFill="1" applyBorder="1" applyAlignment="1">
      <alignment horizontal="center" vertical="center"/>
    </xf>
    <xf numFmtId="38" fontId="7" fillId="19" borderId="1" xfId="0" applyNumberFormat="1" applyFont="1" applyFill="1" applyBorder="1" applyAlignment="1">
      <alignment horizontal="center"/>
    </xf>
    <xf numFmtId="0" fontId="50" fillId="10" borderId="0" xfId="0" applyFont="1" applyFill="1" applyBorder="1" applyAlignment="1">
      <alignment vertical="center"/>
    </xf>
    <xf numFmtId="177" fontId="18" fillId="3" borderId="30" xfId="1" applyNumberFormat="1" applyFont="1" applyFill="1" applyBorder="1">
      <alignment vertical="center"/>
    </xf>
    <xf numFmtId="177" fontId="18" fillId="3" borderId="31" xfId="1" applyNumberFormat="1" applyFont="1" applyFill="1" applyBorder="1">
      <alignment vertical="center"/>
    </xf>
    <xf numFmtId="177" fontId="18" fillId="3" borderId="68" xfId="1" applyNumberFormat="1" applyFont="1" applyFill="1" applyBorder="1">
      <alignment vertical="center"/>
    </xf>
    <xf numFmtId="177" fontId="18" fillId="3" borderId="67" xfId="1" applyNumberFormat="1" applyFont="1" applyFill="1" applyBorder="1">
      <alignment vertical="center"/>
    </xf>
    <xf numFmtId="177" fontId="18" fillId="3" borderId="69" xfId="1" applyNumberFormat="1" applyFont="1" applyFill="1" applyBorder="1">
      <alignment vertical="center"/>
    </xf>
    <xf numFmtId="177" fontId="108" fillId="3" borderId="30" xfId="1" applyNumberFormat="1" applyFont="1" applyFill="1" applyBorder="1">
      <alignment vertical="center"/>
    </xf>
    <xf numFmtId="177" fontId="18" fillId="0" borderId="67" xfId="1" applyNumberFormat="1" applyFont="1" applyBorder="1">
      <alignment vertical="center"/>
    </xf>
    <xf numFmtId="177" fontId="18" fillId="0" borderId="69" xfId="1" applyNumberFormat="1" applyFont="1" applyBorder="1">
      <alignment vertical="center"/>
    </xf>
    <xf numFmtId="0" fontId="29" fillId="0" borderId="0" xfId="0" applyFont="1" applyAlignment="1">
      <alignment vertical="center"/>
    </xf>
    <xf numFmtId="0" fontId="109" fillId="0" borderId="0" xfId="0" applyFont="1" applyAlignment="1">
      <alignment vertical="center"/>
    </xf>
    <xf numFmtId="0" fontId="110" fillId="0" borderId="0" xfId="0" applyFont="1" applyAlignment="1">
      <alignment vertical="center"/>
    </xf>
    <xf numFmtId="0" fontId="55" fillId="0" borderId="0" xfId="0" applyFont="1" applyAlignment="1">
      <alignment vertical="center"/>
    </xf>
    <xf numFmtId="0" fontId="66" fillId="0" borderId="0" xfId="0" applyFont="1" applyAlignment="1">
      <alignment vertical="center"/>
    </xf>
    <xf numFmtId="0" fontId="29" fillId="0" borderId="1" xfId="0" applyFont="1" applyBorder="1" applyAlignment="1">
      <alignment horizontal="center" vertical="center"/>
    </xf>
    <xf numFmtId="198" fontId="29" fillId="0" borderId="1" xfId="1" applyNumberFormat="1" applyFont="1" applyBorder="1" applyAlignment="1">
      <alignment horizontal="center" vertical="center" wrapText="1"/>
    </xf>
    <xf numFmtId="0" fontId="29" fillId="20" borderId="1" xfId="0" applyFont="1" applyFill="1" applyBorder="1" applyAlignment="1">
      <alignment vertical="center"/>
    </xf>
    <xf numFmtId="198" fontId="29" fillId="20" borderId="1" xfId="1" applyNumberFormat="1" applyFont="1" applyFill="1" applyBorder="1" applyAlignment="1">
      <alignment vertical="center"/>
    </xf>
    <xf numFmtId="0" fontId="29" fillId="0" borderId="1" xfId="0" applyFont="1" applyBorder="1" applyAlignment="1">
      <alignment vertical="center"/>
    </xf>
    <xf numFmtId="198" fontId="29" fillId="0" borderId="1" xfId="1" applyNumberFormat="1" applyFont="1" applyBorder="1" applyAlignment="1">
      <alignment vertical="center"/>
    </xf>
    <xf numFmtId="0" fontId="29" fillId="22" borderId="1" xfId="0" applyFont="1" applyFill="1" applyBorder="1" applyAlignment="1">
      <alignment vertical="center"/>
    </xf>
    <xf numFmtId="198" fontId="29" fillId="22" borderId="1" xfId="1" applyNumberFormat="1" applyFont="1" applyFill="1" applyBorder="1" applyAlignment="1">
      <alignment vertical="center"/>
    </xf>
    <xf numFmtId="0" fontId="5" fillId="10" borderId="0" xfId="0" applyFont="1" applyFill="1" applyAlignment="1">
      <alignment vertical="center"/>
    </xf>
    <xf numFmtId="0" fontId="7" fillId="0" borderId="0" xfId="0" applyFont="1"/>
    <xf numFmtId="0" fontId="7" fillId="0" borderId="0" xfId="0" applyFont="1" applyAlignment="1">
      <alignment horizontal="center"/>
    </xf>
    <xf numFmtId="0" fontId="0" fillId="20" borderId="1" xfId="0" applyFill="1" applyBorder="1" applyAlignment="1">
      <alignment vertical="center"/>
    </xf>
    <xf numFmtId="0" fontId="0" fillId="20" borderId="1" xfId="0" applyFill="1" applyBorder="1" applyAlignment="1">
      <alignment horizontal="center" vertical="center"/>
    </xf>
    <xf numFmtId="0" fontId="0" fillId="20" borderId="1" xfId="0" applyFill="1" applyBorder="1" applyAlignment="1">
      <alignment horizontal="left" vertical="center"/>
    </xf>
    <xf numFmtId="0" fontId="7" fillId="0" borderId="0" xfId="0" applyFont="1" applyAlignment="1">
      <alignment horizontal="right"/>
    </xf>
    <xf numFmtId="0" fontId="0" fillId="0" borderId="0" xfId="0" applyAlignment="1">
      <alignment horizontal="center"/>
    </xf>
    <xf numFmtId="0" fontId="0" fillId="0" borderId="0" xfId="0" applyAlignment="1">
      <alignment horizontal="right"/>
    </xf>
    <xf numFmtId="0" fontId="0" fillId="6" borderId="1" xfId="0" applyFill="1" applyBorder="1"/>
    <xf numFmtId="0" fontId="0" fillId="22" borderId="1" xfId="0" applyFill="1" applyBorder="1" applyAlignment="1">
      <alignment horizontal="center"/>
    </xf>
    <xf numFmtId="0" fontId="0" fillId="0" borderId="1" xfId="0" applyBorder="1" applyAlignment="1">
      <alignment horizontal="center"/>
    </xf>
    <xf numFmtId="0" fontId="0" fillId="3" borderId="1" xfId="0" applyFill="1" applyBorder="1"/>
    <xf numFmtId="0" fontId="0" fillId="0" borderId="1" xfId="0" applyFill="1" applyBorder="1" applyAlignment="1">
      <alignment horizontal="center"/>
    </xf>
    <xf numFmtId="0" fontId="0" fillId="3" borderId="1" xfId="0" applyFill="1" applyBorder="1" applyAlignment="1">
      <alignment horizontal="center"/>
    </xf>
    <xf numFmtId="0" fontId="0" fillId="0" borderId="1" xfId="0" applyFill="1" applyBorder="1"/>
    <xf numFmtId="38" fontId="0" fillId="6" borderId="1" xfId="1" applyFont="1" applyFill="1" applyBorder="1" applyAlignment="1">
      <alignment horizontal="center"/>
    </xf>
    <xf numFmtId="0" fontId="8" fillId="22" borderId="1" xfId="0" applyFont="1" applyFill="1" applyBorder="1" applyAlignment="1">
      <alignment horizontal="center"/>
    </xf>
    <xf numFmtId="0" fontId="8" fillId="0" borderId="1" xfId="0" applyFont="1" applyFill="1" applyBorder="1" applyAlignment="1">
      <alignment horizontal="left"/>
    </xf>
    <xf numFmtId="0" fontId="19" fillId="22" borderId="1" xfId="0" applyFont="1" applyFill="1" applyBorder="1" applyAlignment="1">
      <alignment horizontal="center"/>
    </xf>
    <xf numFmtId="0" fontId="0" fillId="22" borderId="1" xfId="0" applyFill="1" applyBorder="1"/>
    <xf numFmtId="0" fontId="8" fillId="0" borderId="1" xfId="0" applyFont="1" applyBorder="1" applyAlignment="1">
      <alignment horizontal="left"/>
    </xf>
    <xf numFmtId="177" fontId="0" fillId="22" borderId="1" xfId="1" applyNumberFormat="1" applyFont="1" applyFill="1" applyBorder="1" applyAlignment="1">
      <alignment horizontal="center"/>
    </xf>
    <xf numFmtId="177" fontId="0" fillId="0" borderId="1" xfId="1" applyNumberFormat="1" applyFont="1" applyBorder="1" applyAlignment="1"/>
    <xf numFmtId="177" fontId="0" fillId="0" borderId="0" xfId="1" applyNumberFormat="1" applyFont="1" applyAlignment="1"/>
    <xf numFmtId="0" fontId="0" fillId="3" borderId="0" xfId="0" applyFill="1"/>
    <xf numFmtId="20" fontId="0" fillId="18" borderId="0" xfId="0" applyNumberFormat="1" applyFill="1"/>
    <xf numFmtId="20" fontId="0" fillId="23" borderId="0" xfId="0" applyNumberFormat="1" applyFill="1"/>
    <xf numFmtId="0" fontId="29" fillId="0" borderId="0" xfId="0" quotePrefix="1" applyFont="1" applyAlignment="1">
      <alignment vertical="center"/>
    </xf>
    <xf numFmtId="0" fontId="109" fillId="0" borderId="0" xfId="0" applyFont="1" applyAlignment="1">
      <alignment horizontal="right" vertical="center"/>
    </xf>
    <xf numFmtId="0" fontId="110" fillId="3" borderId="48" xfId="0" applyFont="1" applyFill="1" applyBorder="1" applyAlignment="1">
      <alignment vertical="center"/>
    </xf>
    <xf numFmtId="0" fontId="29" fillId="3" borderId="49" xfId="0" applyFont="1" applyFill="1" applyBorder="1" applyAlignment="1">
      <alignment vertical="center"/>
    </xf>
    <xf numFmtId="180" fontId="29" fillId="0" borderId="50" xfId="0" applyNumberFormat="1" applyFont="1" applyFill="1" applyBorder="1" applyAlignment="1">
      <alignment horizontal="right" vertical="center"/>
    </xf>
    <xf numFmtId="0" fontId="29" fillId="0" borderId="59" xfId="0" applyFont="1" applyFill="1" applyBorder="1" applyAlignment="1">
      <alignment vertical="center"/>
    </xf>
    <xf numFmtId="198" fontId="109" fillId="0" borderId="0" xfId="1" applyNumberFormat="1" applyFont="1" applyAlignment="1">
      <alignment vertical="center"/>
    </xf>
    <xf numFmtId="0" fontId="109" fillId="0" borderId="0" xfId="0" applyFont="1" applyAlignment="1">
      <alignment horizontal="center" vertical="center"/>
    </xf>
    <xf numFmtId="180" fontId="109" fillId="0" borderId="0" xfId="0" applyNumberFormat="1" applyFont="1" applyAlignment="1">
      <alignment vertical="center"/>
    </xf>
    <xf numFmtId="40" fontId="109" fillId="0" borderId="0" xfId="1" applyNumberFormat="1" applyFont="1" applyAlignment="1">
      <alignment vertical="center"/>
    </xf>
    <xf numFmtId="40" fontId="109" fillId="21" borderId="51" xfId="1" applyNumberFormat="1" applyFont="1" applyFill="1" applyBorder="1" applyAlignment="1">
      <alignment vertical="center"/>
    </xf>
    <xf numFmtId="0" fontId="109" fillId="21" borderId="51" xfId="0" applyFont="1" applyFill="1" applyBorder="1" applyAlignment="1">
      <alignment vertical="center"/>
    </xf>
    <xf numFmtId="0" fontId="29" fillId="21" borderId="59" xfId="0" applyFont="1" applyFill="1" applyBorder="1" applyAlignment="1">
      <alignment vertical="center"/>
    </xf>
    <xf numFmtId="0" fontId="110" fillId="3" borderId="50" xfId="0" applyFont="1" applyFill="1" applyBorder="1" applyAlignment="1">
      <alignment vertical="center"/>
    </xf>
    <xf numFmtId="0" fontId="29" fillId="3" borderId="59" xfId="0" applyFont="1" applyFill="1" applyBorder="1" applyAlignment="1">
      <alignment vertical="center"/>
    </xf>
    <xf numFmtId="0" fontId="29" fillId="0" borderId="59" xfId="0" applyFont="1" applyBorder="1" applyAlignment="1">
      <alignment vertical="center"/>
    </xf>
    <xf numFmtId="0" fontId="44" fillId="3" borderId="67" xfId="0" applyFont="1" applyFill="1" applyBorder="1" applyAlignment="1">
      <alignment vertical="center"/>
    </xf>
    <xf numFmtId="0" fontId="68" fillId="10" borderId="0" xfId="0" applyFont="1" applyFill="1" applyAlignment="1">
      <alignment vertical="center"/>
    </xf>
    <xf numFmtId="0" fontId="42" fillId="10" borderId="67" xfId="0" applyFont="1" applyFill="1" applyBorder="1" applyAlignment="1">
      <alignment vertical="center"/>
    </xf>
    <xf numFmtId="40" fontId="0" fillId="0" borderId="4" xfId="1" applyNumberFormat="1" applyFont="1" applyBorder="1" applyAlignment="1">
      <alignment horizontal="center" vertical="center"/>
    </xf>
    <xf numFmtId="0" fontId="6" fillId="19" borderId="1" xfId="0" applyFont="1" applyFill="1" applyBorder="1" applyAlignment="1">
      <alignment horizontal="center" vertical="center" wrapText="1"/>
    </xf>
    <xf numFmtId="0" fontId="6" fillId="19" borderId="1" xfId="0" applyFont="1" applyFill="1" applyBorder="1" applyAlignment="1">
      <alignment horizontal="left" vertical="center" wrapText="1"/>
    </xf>
    <xf numFmtId="38" fontId="56" fillId="10" borderId="1" xfId="0" applyNumberFormat="1" applyFont="1" applyFill="1" applyBorder="1" applyAlignment="1">
      <alignment vertical="center"/>
    </xf>
    <xf numFmtId="38" fontId="56" fillId="10" borderId="1" xfId="1" applyFont="1" applyFill="1" applyBorder="1" applyAlignment="1">
      <alignment vertical="center"/>
    </xf>
    <xf numFmtId="0" fontId="90" fillId="10" borderId="0" xfId="0" applyFont="1" applyFill="1" applyAlignment="1">
      <alignment vertical="center"/>
    </xf>
    <xf numFmtId="0" fontId="6" fillId="19" borderId="1" xfId="0" applyFont="1" applyFill="1" applyBorder="1" applyAlignment="1">
      <alignment horizontal="center" vertical="center" wrapText="1"/>
    </xf>
    <xf numFmtId="0" fontId="6" fillId="19" borderId="1" xfId="0" applyFont="1" applyFill="1" applyBorder="1" applyAlignment="1">
      <alignment horizontal="left" vertical="center" wrapText="1"/>
    </xf>
    <xf numFmtId="0" fontId="7" fillId="0" borderId="0" xfId="0" applyFont="1" applyBorder="1" applyAlignment="1">
      <alignment horizontal="center" vertical="center"/>
    </xf>
    <xf numFmtId="177" fontId="42" fillId="10" borderId="1" xfId="1" applyNumberFormat="1" applyFont="1" applyFill="1" applyBorder="1" applyAlignment="1">
      <alignment vertical="center"/>
    </xf>
    <xf numFmtId="38" fontId="0" fillId="0" borderId="1" xfId="1" applyFont="1" applyBorder="1" applyAlignment="1">
      <alignment vertical="center"/>
    </xf>
    <xf numFmtId="40" fontId="0" fillId="0" borderId="1" xfId="1" applyNumberFormat="1" applyFont="1" applyBorder="1" applyAlignment="1">
      <alignment vertical="center"/>
    </xf>
    <xf numFmtId="0" fontId="4" fillId="19" borderId="129" xfId="0" applyFont="1" applyFill="1" applyBorder="1" applyAlignment="1">
      <alignment vertical="center" wrapText="1"/>
    </xf>
    <xf numFmtId="177" fontId="0" fillId="0" borderId="3" xfId="1" applyNumberFormat="1" applyFont="1" applyBorder="1" applyAlignment="1">
      <alignment vertical="center"/>
    </xf>
    <xf numFmtId="40" fontId="0" fillId="19" borderId="1" xfId="1" applyNumberFormat="1" applyFont="1" applyFill="1" applyBorder="1" applyAlignment="1">
      <alignment vertical="center"/>
    </xf>
    <xf numFmtId="38" fontId="6" fillId="19" borderId="4" xfId="0" applyNumberFormat="1" applyFont="1" applyFill="1" applyBorder="1" applyAlignment="1">
      <alignment vertical="center"/>
    </xf>
    <xf numFmtId="38" fontId="6" fillId="19" borderId="33" xfId="0" applyNumberFormat="1" applyFont="1" applyFill="1" applyBorder="1" applyAlignment="1">
      <alignment vertical="center"/>
    </xf>
    <xf numFmtId="38" fontId="6" fillId="19" borderId="19" xfId="0" applyNumberFormat="1" applyFont="1" applyFill="1" applyBorder="1" applyAlignment="1">
      <alignment vertical="center"/>
    </xf>
    <xf numFmtId="38" fontId="6" fillId="19" borderId="2" xfId="0" applyNumberFormat="1" applyFont="1" applyFill="1" applyBorder="1" applyAlignment="1">
      <alignment vertical="center"/>
    </xf>
    <xf numFmtId="38" fontId="6" fillId="19" borderId="3" xfId="0" applyNumberFormat="1" applyFont="1" applyFill="1" applyBorder="1" applyAlignment="1">
      <alignment vertical="center"/>
    </xf>
    <xf numFmtId="0" fontId="6" fillId="19" borderId="33" xfId="0" applyFont="1" applyFill="1" applyBorder="1" applyAlignment="1">
      <alignment vertical="center"/>
    </xf>
    <xf numFmtId="0" fontId="6" fillId="19" borderId="55" xfId="0" applyFont="1" applyFill="1" applyBorder="1" applyAlignment="1">
      <alignment vertical="center"/>
    </xf>
    <xf numFmtId="38" fontId="0" fillId="19" borderId="1" xfId="1" applyFont="1" applyFill="1" applyBorder="1" applyAlignment="1">
      <alignment vertical="center"/>
    </xf>
    <xf numFmtId="0" fontId="4" fillId="0" borderId="0" xfId="0" applyFont="1" applyFill="1" applyAlignment="1">
      <alignment vertical="center"/>
    </xf>
    <xf numFmtId="0" fontId="6" fillId="19" borderId="1" xfId="0" applyFont="1" applyFill="1" applyBorder="1" applyAlignment="1">
      <alignment horizontal="center" vertical="center" wrapText="1"/>
    </xf>
    <xf numFmtId="38" fontId="0" fillId="19" borderId="1" xfId="0" applyNumberFormat="1" applyFont="1" applyFill="1" applyBorder="1" applyAlignment="1">
      <alignment vertical="center"/>
    </xf>
    <xf numFmtId="0" fontId="0" fillId="19" borderId="1" xfId="0" applyFont="1" applyFill="1" applyBorder="1" applyAlignment="1">
      <alignment vertical="center"/>
    </xf>
    <xf numFmtId="0" fontId="6" fillId="19" borderId="1" xfId="0" applyFont="1" applyFill="1" applyBorder="1" applyAlignment="1">
      <alignment horizontal="center" vertical="center" wrapText="1"/>
    </xf>
    <xf numFmtId="0" fontId="6" fillId="19" borderId="1" xfId="0" applyFont="1" applyFill="1" applyBorder="1" applyAlignment="1">
      <alignment horizontal="left" vertical="center" wrapText="1"/>
    </xf>
    <xf numFmtId="0" fontId="7" fillId="0" borderId="0" xfId="0" applyFont="1" applyBorder="1" applyAlignment="1">
      <alignment horizontal="center" vertical="center"/>
    </xf>
    <xf numFmtId="0" fontId="6" fillId="19" borderId="1" xfId="0" applyFont="1" applyFill="1" applyBorder="1" applyAlignment="1">
      <alignment horizontal="center" vertical="center" wrapText="1"/>
    </xf>
    <xf numFmtId="198" fontId="0" fillId="19" borderId="1" xfId="1" applyNumberFormat="1" applyFont="1" applyFill="1" applyBorder="1" applyAlignment="1">
      <alignment vertical="center"/>
    </xf>
    <xf numFmtId="0" fontId="112" fillId="9" borderId="62" xfId="0" applyFont="1" applyFill="1" applyBorder="1" applyAlignment="1">
      <alignment horizontal="right" vertical="center"/>
    </xf>
    <xf numFmtId="177" fontId="0" fillId="0" borderId="3" xfId="0" applyNumberFormat="1" applyBorder="1" applyAlignment="1">
      <alignment vertical="center"/>
    </xf>
    <xf numFmtId="0" fontId="113" fillId="9" borderId="47" xfId="0" applyFont="1" applyFill="1" applyBorder="1" applyAlignment="1">
      <alignment horizontal="right" vertical="center"/>
    </xf>
    <xf numFmtId="0" fontId="113" fillId="9" borderId="62" xfId="0" applyFont="1" applyFill="1" applyBorder="1" applyAlignment="1">
      <alignment horizontal="right" vertical="center"/>
    </xf>
    <xf numFmtId="0" fontId="115" fillId="10" borderId="0" xfId="0" applyFont="1" applyFill="1" applyAlignment="1" applyProtection="1">
      <alignment vertical="center"/>
    </xf>
    <xf numFmtId="0" fontId="116" fillId="0" borderId="0" xfId="0" applyFont="1" applyFill="1" applyAlignment="1">
      <alignment vertical="center"/>
    </xf>
    <xf numFmtId="0" fontId="117" fillId="10" borderId="0" xfId="0" applyFont="1" applyFill="1" applyAlignment="1">
      <alignment vertical="center"/>
    </xf>
    <xf numFmtId="0" fontId="118" fillId="10" borderId="0" xfId="0" applyFont="1" applyFill="1" applyAlignment="1">
      <alignment vertical="center"/>
    </xf>
    <xf numFmtId="0" fontId="119" fillId="10" borderId="0" xfId="0" applyFont="1" applyFill="1" applyAlignment="1">
      <alignment vertical="center"/>
    </xf>
    <xf numFmtId="0" fontId="17" fillId="0" borderId="0" xfId="0" applyFont="1"/>
    <xf numFmtId="0" fontId="42" fillId="7" borderId="51" xfId="0" applyFont="1" applyFill="1" applyBorder="1" applyAlignment="1">
      <alignment horizontal="center" vertical="center"/>
    </xf>
    <xf numFmtId="0" fontId="42" fillId="7" borderId="59" xfId="0" applyFont="1" applyFill="1" applyBorder="1" applyAlignment="1">
      <alignment horizontal="center" vertical="center"/>
    </xf>
    <xf numFmtId="0" fontId="42" fillId="9" borderId="1" xfId="0" applyFont="1" applyFill="1" applyBorder="1" applyAlignment="1">
      <alignment horizontal="center" vertical="center"/>
    </xf>
    <xf numFmtId="0" fontId="39" fillId="9" borderId="2" xfId="0" applyFont="1" applyFill="1" applyBorder="1" applyAlignment="1">
      <alignment horizontal="center" vertical="center" shrinkToFit="1"/>
    </xf>
    <xf numFmtId="0" fontId="42" fillId="9" borderId="21" xfId="0" applyFont="1" applyFill="1" applyBorder="1" applyAlignment="1">
      <alignment horizontal="center" vertical="center"/>
    </xf>
    <xf numFmtId="0" fontId="42" fillId="9" borderId="22" xfId="0" applyFont="1" applyFill="1" applyBorder="1" applyAlignment="1">
      <alignment horizontal="center" vertical="center"/>
    </xf>
    <xf numFmtId="0" fontId="42" fillId="9" borderId="0" xfId="0" applyFont="1" applyFill="1" applyBorder="1" applyAlignment="1">
      <alignment horizontal="right" vertical="center"/>
    </xf>
    <xf numFmtId="0" fontId="42" fillId="9" borderId="33" xfId="0" applyFont="1" applyFill="1" applyBorder="1" applyAlignment="1">
      <alignment horizontal="center" vertical="center"/>
    </xf>
    <xf numFmtId="0" fontId="42" fillId="9" borderId="19" xfId="0" applyFont="1" applyFill="1" applyBorder="1" applyAlignment="1">
      <alignment horizontal="center" vertical="center"/>
    </xf>
    <xf numFmtId="0" fontId="39" fillId="9" borderId="1" xfId="0" applyFont="1" applyFill="1" applyBorder="1" applyAlignment="1">
      <alignment horizontal="center" vertical="center" shrinkToFit="1"/>
    </xf>
    <xf numFmtId="0" fontId="42" fillId="9" borderId="0" xfId="0" applyFont="1" applyFill="1" applyBorder="1" applyAlignment="1">
      <alignment horizontal="center" vertical="center"/>
    </xf>
    <xf numFmtId="0" fontId="42" fillId="0" borderId="37" xfId="0" applyFont="1" applyBorder="1" applyAlignment="1">
      <alignment horizontal="left" vertical="center"/>
    </xf>
    <xf numFmtId="0" fontId="42" fillId="0" borderId="59" xfId="0" applyFont="1" applyBorder="1" applyAlignment="1">
      <alignment horizontal="center" vertical="center"/>
    </xf>
    <xf numFmtId="0" fontId="42" fillId="0" borderId="51" xfId="0" applyFont="1" applyBorder="1" applyAlignment="1">
      <alignment horizontal="center" vertical="center"/>
    </xf>
    <xf numFmtId="0" fontId="42" fillId="0" borderId="33" xfId="0" applyFont="1" applyBorder="1" applyAlignment="1">
      <alignment horizontal="left" vertical="center"/>
    </xf>
    <xf numFmtId="0" fontId="42" fillId="0" borderId="35" xfId="0" applyFont="1" applyBorder="1" applyAlignment="1">
      <alignment horizontal="left" vertical="center"/>
    </xf>
    <xf numFmtId="0" fontId="42" fillId="0" borderId="33" xfId="0" applyFont="1" applyBorder="1" applyAlignment="1">
      <alignment horizontal="right" vertical="center"/>
    </xf>
    <xf numFmtId="0" fontId="42" fillId="0" borderId="19" xfId="0" applyFont="1" applyBorder="1" applyAlignment="1">
      <alignment horizontal="left" vertical="center"/>
    </xf>
    <xf numFmtId="38" fontId="42" fillId="0" borderId="19" xfId="0" applyNumberFormat="1" applyFont="1" applyBorder="1" applyAlignment="1">
      <alignment horizontal="right" vertical="center"/>
    </xf>
    <xf numFmtId="0" fontId="42" fillId="9" borderId="46" xfId="0" applyFont="1" applyFill="1" applyBorder="1" applyAlignment="1">
      <alignment horizontal="center" vertical="center"/>
    </xf>
    <xf numFmtId="0" fontId="42" fillId="0" borderId="23" xfId="0" applyFont="1" applyBorder="1" applyAlignment="1">
      <alignment horizontal="center" vertical="center"/>
    </xf>
    <xf numFmtId="0" fontId="42" fillId="0" borderId="61" xfId="0" applyFont="1" applyBorder="1" applyAlignment="1">
      <alignment horizontal="center" vertical="center"/>
    </xf>
    <xf numFmtId="0" fontId="42" fillId="0" borderId="7" xfId="0" applyFont="1" applyBorder="1" applyAlignment="1">
      <alignment horizontal="center" vertical="center"/>
    </xf>
    <xf numFmtId="0" fontId="42" fillId="0" borderId="63" xfId="0" applyFont="1" applyBorder="1" applyAlignment="1">
      <alignment horizontal="center" vertical="center"/>
    </xf>
    <xf numFmtId="0" fontId="42" fillId="0" borderId="13" xfId="0" applyFont="1" applyBorder="1" applyAlignment="1">
      <alignment horizontal="center" vertical="center"/>
    </xf>
    <xf numFmtId="0" fontId="42" fillId="0" borderId="21" xfId="0" applyFont="1" applyBorder="1" applyAlignment="1">
      <alignment horizontal="center" vertical="center"/>
    </xf>
    <xf numFmtId="0" fontId="42" fillId="0" borderId="65" xfId="0" applyFont="1" applyBorder="1" applyAlignment="1">
      <alignment horizontal="center" vertical="center"/>
    </xf>
    <xf numFmtId="0" fontId="42" fillId="0" borderId="24" xfId="0" applyFont="1" applyBorder="1" applyAlignment="1">
      <alignment horizontal="center" vertical="center"/>
    </xf>
    <xf numFmtId="0" fontId="42" fillId="0" borderId="8" xfId="0" applyFont="1" applyBorder="1" applyAlignment="1">
      <alignment horizontal="center" vertical="center"/>
    </xf>
    <xf numFmtId="0" fontId="42" fillId="0" borderId="9" xfId="0" applyFont="1" applyBorder="1" applyAlignment="1">
      <alignment horizontal="center" vertical="center"/>
    </xf>
    <xf numFmtId="0" fontId="42" fillId="0" borderId="22" xfId="0" applyFont="1" applyBorder="1" applyAlignment="1">
      <alignment horizontal="center" vertical="center"/>
    </xf>
    <xf numFmtId="0" fontId="42" fillId="9" borderId="7" xfId="0" applyFont="1" applyFill="1" applyBorder="1" applyAlignment="1">
      <alignment horizontal="center" vertical="center"/>
    </xf>
    <xf numFmtId="0" fontId="42" fillId="9" borderId="8" xfId="0" applyFont="1" applyFill="1" applyBorder="1" applyAlignment="1">
      <alignment horizontal="center" vertical="center"/>
    </xf>
    <xf numFmtId="0" fontId="42" fillId="9" borderId="11" xfId="0" applyFont="1" applyFill="1" applyBorder="1" applyAlignment="1">
      <alignment horizontal="center" vertical="center"/>
    </xf>
    <xf numFmtId="0" fontId="42" fillId="9" borderId="3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59" xfId="0" applyFont="1" applyFill="1" applyBorder="1" applyAlignment="1">
      <alignment horizontal="center" vertical="center"/>
    </xf>
    <xf numFmtId="0" fontId="42" fillId="16" borderId="51" xfId="0" applyFont="1" applyFill="1" applyBorder="1" applyAlignment="1">
      <alignment horizontal="center" vertical="center"/>
    </xf>
    <xf numFmtId="0" fontId="42" fillId="16" borderId="59" xfId="0" applyFont="1" applyFill="1" applyBorder="1" applyAlignment="1">
      <alignment horizontal="center" vertical="center"/>
    </xf>
    <xf numFmtId="0" fontId="120" fillId="10" borderId="0" xfId="0" applyFont="1" applyFill="1" applyAlignment="1" applyProtection="1">
      <alignment vertical="center"/>
    </xf>
    <xf numFmtId="0" fontId="109" fillId="20" borderId="67" xfId="0" applyFont="1" applyFill="1" applyBorder="1" applyAlignment="1" applyProtection="1">
      <alignment vertical="center"/>
      <protection locked="0"/>
    </xf>
    <xf numFmtId="180" fontId="109" fillId="20" borderId="67" xfId="0" applyNumberFormat="1" applyFont="1" applyFill="1" applyBorder="1" applyAlignment="1" applyProtection="1">
      <alignment horizontal="right" vertical="center"/>
      <protection locked="0"/>
    </xf>
    <xf numFmtId="0" fontId="48" fillId="10" borderId="0" xfId="0" applyFont="1" applyFill="1" applyBorder="1" applyAlignment="1">
      <alignment horizontal="left" vertical="center"/>
    </xf>
    <xf numFmtId="0" fontId="34" fillId="10" borderId="0" xfId="0" applyFont="1" applyFill="1" applyAlignment="1">
      <alignment vertical="center"/>
    </xf>
    <xf numFmtId="0" fontId="123" fillId="0" borderId="0" xfId="0" applyFont="1"/>
    <xf numFmtId="0" fontId="125" fillId="0" borderId="0" xfId="0" applyFont="1" applyFill="1" applyAlignment="1" applyProtection="1">
      <alignment vertical="center"/>
    </xf>
    <xf numFmtId="0" fontId="124" fillId="0" borderId="0" xfId="0" applyFont="1" applyFill="1" applyAlignment="1">
      <alignment vertical="center"/>
    </xf>
    <xf numFmtId="0" fontId="29" fillId="0" borderId="0" xfId="0" applyFont="1" applyAlignment="1" applyProtection="1">
      <alignment vertical="center"/>
    </xf>
    <xf numFmtId="0" fontId="66" fillId="0" borderId="0" xfId="0" applyFont="1" applyAlignment="1" applyProtection="1">
      <alignment vertical="center"/>
    </xf>
    <xf numFmtId="0" fontId="109" fillId="0" borderId="33" xfId="0" applyFont="1" applyFill="1" applyBorder="1" applyAlignment="1" applyProtection="1">
      <alignment horizontal="center" vertical="center"/>
    </xf>
    <xf numFmtId="0" fontId="109"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29" fillId="0" borderId="0" xfId="0" applyFont="1" applyBorder="1" applyAlignment="1" applyProtection="1">
      <alignment vertical="center"/>
    </xf>
    <xf numFmtId="0" fontId="110" fillId="0" borderId="0" xfId="0" applyFont="1" applyAlignment="1" applyProtection="1">
      <alignment vertical="center"/>
    </xf>
    <xf numFmtId="0" fontId="109" fillId="0" borderId="2" xfId="0" applyFont="1" applyFill="1" applyBorder="1" applyAlignment="1" applyProtection="1">
      <alignment horizontal="left" vertical="center"/>
    </xf>
    <xf numFmtId="198" fontId="110" fillId="21" borderId="67" xfId="1" applyNumberFormat="1" applyFont="1" applyFill="1" applyBorder="1" applyAlignment="1" applyProtection="1">
      <alignment vertical="center"/>
    </xf>
    <xf numFmtId="0" fontId="55" fillId="0" borderId="0" xfId="0" applyFont="1" applyBorder="1" applyAlignment="1" applyProtection="1">
      <alignment vertical="center"/>
    </xf>
    <xf numFmtId="0" fontId="55" fillId="0" borderId="0" xfId="0" applyFont="1" applyAlignment="1" applyProtection="1">
      <alignment vertical="center"/>
    </xf>
    <xf numFmtId="0" fontId="110" fillId="0" borderId="0" xfId="0" applyFont="1" applyFill="1" applyBorder="1" applyAlignment="1" applyProtection="1">
      <alignment vertical="center" wrapText="1"/>
    </xf>
    <xf numFmtId="0" fontId="66" fillId="0" borderId="0" xfId="0" applyFont="1" applyBorder="1" applyAlignment="1" applyProtection="1">
      <alignment vertical="center"/>
    </xf>
    <xf numFmtId="0" fontId="29" fillId="0" borderId="169" xfId="0" applyFont="1" applyBorder="1" applyAlignment="1" applyProtection="1">
      <alignment vertical="center"/>
    </xf>
    <xf numFmtId="0" fontId="66" fillId="0" borderId="169" xfId="0" applyFont="1" applyBorder="1" applyAlignment="1" applyProtection="1">
      <alignment vertical="center"/>
    </xf>
    <xf numFmtId="177" fontId="110" fillId="21" borderId="67" xfId="1" applyNumberFormat="1" applyFont="1" applyFill="1" applyBorder="1" applyAlignment="1" applyProtection="1">
      <alignment vertical="center"/>
    </xf>
    <xf numFmtId="0" fontId="109" fillId="0" borderId="0" xfId="0" applyFont="1" applyFill="1" applyBorder="1" applyAlignment="1" applyProtection="1">
      <alignment horizontal="left" vertical="center"/>
    </xf>
    <xf numFmtId="40" fontId="109" fillId="0" borderId="0" xfId="1" applyNumberFormat="1" applyFont="1" applyFill="1" applyBorder="1" applyAlignment="1" applyProtection="1">
      <alignment vertical="center"/>
    </xf>
    <xf numFmtId="0" fontId="109" fillId="0" borderId="0" xfId="0" applyFont="1" applyFill="1" applyBorder="1" applyAlignment="1" applyProtection="1">
      <alignment vertical="top"/>
    </xf>
    <xf numFmtId="0" fontId="29" fillId="0" borderId="1" xfId="0" applyFont="1" applyBorder="1" applyAlignment="1" applyProtection="1">
      <alignment horizontal="center" vertical="center"/>
    </xf>
    <xf numFmtId="198" fontId="29" fillId="0" borderId="1" xfId="1" applyNumberFormat="1" applyFont="1" applyBorder="1" applyAlignment="1" applyProtection="1">
      <alignment horizontal="center" vertical="center" wrapText="1"/>
    </xf>
    <xf numFmtId="0" fontId="29" fillId="20" borderId="1" xfId="0" applyFont="1" applyFill="1" applyBorder="1" applyAlignment="1" applyProtection="1">
      <alignment vertical="center"/>
    </xf>
    <xf numFmtId="198" fontId="29" fillId="20" borderId="1" xfId="1" applyNumberFormat="1" applyFont="1" applyFill="1" applyBorder="1" applyAlignment="1" applyProtection="1">
      <alignment vertical="center"/>
    </xf>
    <xf numFmtId="0" fontId="29" fillId="0" borderId="1" xfId="0" applyFont="1" applyBorder="1" applyAlignment="1" applyProtection="1">
      <alignment vertical="center"/>
    </xf>
    <xf numFmtId="198" fontId="29" fillId="0" borderId="1" xfId="1" applyNumberFormat="1" applyFont="1" applyBorder="1" applyAlignment="1" applyProtection="1">
      <alignment vertical="center"/>
    </xf>
    <xf numFmtId="0" fontId="29" fillId="22" borderId="1" xfId="0" applyFont="1" applyFill="1" applyBorder="1" applyAlignment="1" applyProtection="1">
      <alignment vertical="center"/>
    </xf>
    <xf numFmtId="198" fontId="29" fillId="22" borderId="1" xfId="1" applyNumberFormat="1" applyFont="1" applyFill="1" applyBorder="1" applyAlignment="1" applyProtection="1">
      <alignment vertical="center"/>
    </xf>
    <xf numFmtId="0" fontId="5" fillId="10" borderId="0" xfId="0" applyFont="1" applyFill="1" applyAlignment="1" applyProtection="1">
      <alignment vertical="center"/>
    </xf>
    <xf numFmtId="0" fontId="0" fillId="0" borderId="148" xfId="0" applyBorder="1"/>
    <xf numFmtId="0" fontId="29" fillId="0" borderId="150" xfId="0" applyFont="1" applyBorder="1" applyAlignment="1" applyProtection="1">
      <alignment vertical="center"/>
    </xf>
    <xf numFmtId="0" fontId="42" fillId="10" borderId="173" xfId="0" applyFont="1" applyFill="1" applyBorder="1" applyAlignment="1">
      <alignment horizontal="right" vertical="center"/>
    </xf>
    <xf numFmtId="0" fontId="46" fillId="10" borderId="0" xfId="0" applyFont="1" applyFill="1" applyAlignment="1">
      <alignment vertical="center"/>
    </xf>
    <xf numFmtId="0" fontId="42" fillId="11" borderId="164" xfId="0" applyFont="1" applyFill="1" applyBorder="1" applyAlignment="1" applyProtection="1">
      <alignment horizontal="right" vertical="center"/>
      <protection locked="0"/>
    </xf>
    <xf numFmtId="0" fontId="42" fillId="10" borderId="174" xfId="0" applyFont="1" applyFill="1" applyBorder="1" applyAlignment="1">
      <alignment horizontal="center" vertical="center"/>
    </xf>
    <xf numFmtId="40" fontId="42" fillId="11" borderId="164" xfId="0" applyNumberFormat="1" applyFont="1" applyFill="1" applyBorder="1" applyAlignment="1" applyProtection="1">
      <alignment horizontal="right" vertical="center"/>
      <protection locked="0"/>
    </xf>
    <xf numFmtId="0" fontId="57" fillId="10" borderId="0" xfId="0" applyFont="1" applyFill="1" applyBorder="1" applyAlignment="1">
      <alignment horizontal="right" vertical="center" wrapText="1"/>
    </xf>
    <xf numFmtId="0" fontId="57" fillId="10" borderId="0" xfId="0" applyFont="1" applyFill="1" applyAlignment="1">
      <alignment horizontal="center" vertical="center" wrapText="1"/>
    </xf>
    <xf numFmtId="0" fontId="56" fillId="14" borderId="78" xfId="0" applyFont="1" applyFill="1" applyBorder="1" applyAlignment="1">
      <alignment horizontal="center" vertical="center"/>
    </xf>
    <xf numFmtId="0" fontId="132" fillId="14" borderId="78" xfId="0" applyFont="1" applyFill="1" applyBorder="1" applyAlignment="1">
      <alignment horizontal="center" vertical="center"/>
    </xf>
    <xf numFmtId="0" fontId="133" fillId="14" borderId="78" xfId="0" applyFont="1" applyFill="1" applyBorder="1" applyAlignment="1">
      <alignment horizontal="center" vertical="center" wrapText="1"/>
    </xf>
    <xf numFmtId="0" fontId="101" fillId="10" borderId="0" xfId="0" applyFont="1" applyFill="1" applyAlignment="1">
      <alignment vertical="top" wrapText="1"/>
    </xf>
    <xf numFmtId="0" fontId="0" fillId="0" borderId="5" xfId="0" applyBorder="1" applyAlignment="1">
      <alignment horizontal="center" vertical="center"/>
    </xf>
    <xf numFmtId="0" fontId="0" fillId="0" borderId="38" xfId="0" applyBorder="1" applyAlignment="1">
      <alignment horizontal="center" vertical="center"/>
    </xf>
    <xf numFmtId="0" fontId="0" fillId="0" borderId="59" xfId="0" applyBorder="1" applyAlignment="1">
      <alignment horizontal="center" vertical="center"/>
    </xf>
    <xf numFmtId="0" fontId="0" fillId="0" borderId="18" xfId="0" applyBorder="1" applyAlignment="1">
      <alignment horizontal="center" vertical="center"/>
    </xf>
    <xf numFmtId="0" fontId="0" fillId="0" borderId="14" xfId="0" applyBorder="1" applyAlignment="1">
      <alignment horizontal="center" vertical="center"/>
    </xf>
    <xf numFmtId="0" fontId="0" fillId="0" borderId="21" xfId="0" applyBorder="1" applyAlignment="1">
      <alignment horizontal="center" vertical="center"/>
    </xf>
    <xf numFmtId="0" fontId="6" fillId="0" borderId="18" xfId="0" applyFont="1" applyBorder="1" applyAlignment="1">
      <alignment horizontal="center" vertical="center"/>
    </xf>
    <xf numFmtId="0" fontId="6" fillId="0" borderId="14" xfId="0" applyFont="1" applyBorder="1" applyAlignment="1">
      <alignment horizontal="center" vertical="center"/>
    </xf>
    <xf numFmtId="0" fontId="6" fillId="0" borderId="21" xfId="0" applyFont="1"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20" fillId="0" borderId="0" xfId="0" applyFont="1" applyAlignment="1">
      <alignment horizontal="center" vertical="center"/>
    </xf>
    <xf numFmtId="0" fontId="7" fillId="0" borderId="5" xfId="0" applyFont="1" applyBorder="1" applyAlignment="1">
      <alignment horizontal="center" vertical="center"/>
    </xf>
    <xf numFmtId="0" fontId="0" fillId="0" borderId="1" xfId="0"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38" fontId="0" fillId="3" borderId="3" xfId="1" applyFont="1" applyFill="1" applyBorder="1" applyAlignment="1">
      <alignment horizontal="center" vertical="center"/>
    </xf>
    <xf numFmtId="0" fontId="4" fillId="0" borderId="2" xfId="2" applyFont="1" applyBorder="1" applyAlignment="1" applyProtection="1">
      <alignment horizontal="center" vertical="center" wrapText="1"/>
      <protection locked="0"/>
    </xf>
    <xf numFmtId="0" fontId="4" fillId="0" borderId="3" xfId="2" applyFont="1" applyBorder="1" applyAlignment="1" applyProtection="1">
      <alignment horizontal="center" vertical="center" wrapText="1"/>
      <protection locked="0"/>
    </xf>
    <xf numFmtId="0" fontId="4" fillId="0" borderId="4" xfId="2" applyFont="1" applyBorder="1" applyAlignment="1" applyProtection="1">
      <alignment horizontal="center" vertical="center" wrapText="1"/>
      <protection locked="0"/>
    </xf>
    <xf numFmtId="0" fontId="10" fillId="6" borderId="34" xfId="2" applyFont="1" applyFill="1" applyBorder="1" applyAlignment="1" applyProtection="1">
      <alignment horizontal="center" vertical="center" wrapText="1"/>
    </xf>
    <xf numFmtId="0" fontId="10" fillId="6" borderId="64" xfId="2" applyFont="1" applyFill="1" applyBorder="1" applyAlignment="1" applyProtection="1">
      <alignment horizontal="center" vertical="center" wrapText="1"/>
    </xf>
    <xf numFmtId="0" fontId="10" fillId="6" borderId="56" xfId="2" applyFont="1" applyFill="1" applyBorder="1" applyAlignment="1" applyProtection="1">
      <alignment horizontal="center" vertical="center" wrapText="1"/>
    </xf>
    <xf numFmtId="0" fontId="10" fillId="6" borderId="55" xfId="2" applyFont="1" applyFill="1" applyBorder="1" applyAlignment="1" applyProtection="1">
      <alignment horizontal="center" vertical="center" wrapText="1"/>
    </xf>
    <xf numFmtId="0" fontId="10" fillId="6" borderId="5" xfId="2" applyFont="1" applyFill="1" applyBorder="1" applyAlignment="1" applyProtection="1">
      <alignment horizontal="center" vertical="center" wrapText="1"/>
    </xf>
    <xf numFmtId="0" fontId="10" fillId="6" borderId="54" xfId="2" applyFont="1" applyFill="1" applyBorder="1" applyAlignment="1" applyProtection="1">
      <alignment horizontal="center" vertical="center" wrapText="1"/>
    </xf>
    <xf numFmtId="0" fontId="10" fillId="0" borderId="100" xfId="2" applyFont="1" applyBorder="1" applyAlignment="1" applyProtection="1">
      <alignment horizontal="center" vertical="center" wrapText="1"/>
      <protection hidden="1"/>
    </xf>
    <xf numFmtId="0" fontId="10" fillId="0" borderId="101" xfId="2" applyFont="1" applyBorder="1" applyAlignment="1" applyProtection="1">
      <alignment horizontal="center" vertical="center" wrapText="1"/>
      <protection hidden="1"/>
    </xf>
    <xf numFmtId="0" fontId="10" fillId="0" borderId="142" xfId="2" applyFont="1" applyBorder="1" applyAlignment="1" applyProtection="1">
      <alignment horizontal="center" vertical="center" wrapText="1"/>
      <protection hidden="1"/>
    </xf>
    <xf numFmtId="0" fontId="10" fillId="0" borderId="97" xfId="2" applyFont="1" applyBorder="1" applyAlignment="1" applyProtection="1">
      <alignment horizontal="center" vertical="center"/>
      <protection hidden="1"/>
    </xf>
    <xf numFmtId="0" fontId="10" fillId="0" borderId="98" xfId="2" applyFont="1" applyBorder="1" applyAlignment="1" applyProtection="1">
      <alignment horizontal="center" vertical="center"/>
      <protection hidden="1"/>
    </xf>
    <xf numFmtId="0" fontId="10" fillId="0" borderId="108" xfId="2" applyFont="1" applyBorder="1" applyAlignment="1" applyProtection="1">
      <alignment horizontal="center" vertical="center"/>
      <protection hidden="1"/>
    </xf>
    <xf numFmtId="0" fontId="25" fillId="0" borderId="2" xfId="2" applyFont="1" applyBorder="1" applyAlignment="1" applyProtection="1">
      <alignment horizontal="center" vertical="center" wrapText="1"/>
      <protection locked="0"/>
    </xf>
    <xf numFmtId="0" fontId="25" fillId="0" borderId="3" xfId="2" applyFont="1" applyBorder="1" applyAlignment="1" applyProtection="1">
      <alignment horizontal="center" vertical="center" wrapText="1"/>
      <protection locked="0"/>
    </xf>
    <xf numFmtId="0" fontId="25" fillId="0" borderId="4" xfId="2" applyFont="1" applyBorder="1" applyAlignment="1" applyProtection="1">
      <alignment horizontal="center" vertical="center" wrapText="1"/>
      <protection locked="0"/>
    </xf>
    <xf numFmtId="0" fontId="10" fillId="6" borderId="2" xfId="2" applyFont="1" applyFill="1" applyBorder="1" applyAlignment="1" applyProtection="1">
      <alignment horizontal="center" vertical="center" wrapText="1"/>
    </xf>
    <xf numFmtId="0" fontId="10" fillId="6" borderId="3" xfId="2" applyFont="1" applyFill="1" applyBorder="1" applyAlignment="1" applyProtection="1">
      <alignment horizontal="center" vertical="center" wrapText="1"/>
    </xf>
    <xf numFmtId="0" fontId="10" fillId="6" borderId="4" xfId="2" applyFont="1" applyFill="1" applyBorder="1" applyAlignment="1" applyProtection="1">
      <alignment horizontal="center" vertical="center" wrapText="1"/>
    </xf>
    <xf numFmtId="38" fontId="24" fillId="0" borderId="2" xfId="1" applyFont="1" applyBorder="1" applyAlignment="1" applyProtection="1">
      <alignment horizontal="right" vertical="center" shrinkToFit="1"/>
      <protection locked="0"/>
    </xf>
    <xf numFmtId="38" fontId="24" fillId="0" borderId="3" xfId="1" applyFont="1" applyBorder="1" applyAlignment="1" applyProtection="1">
      <alignment horizontal="right" vertical="center" shrinkToFit="1"/>
      <protection locked="0"/>
    </xf>
    <xf numFmtId="0" fontId="6" fillId="6" borderId="2" xfId="2" applyFont="1" applyFill="1" applyBorder="1" applyAlignment="1" applyProtection="1">
      <alignment horizontal="center" vertical="center" wrapText="1"/>
    </xf>
    <xf numFmtId="0" fontId="6" fillId="6" borderId="3" xfId="2" applyFont="1" applyFill="1" applyBorder="1" applyAlignment="1" applyProtection="1">
      <alignment horizontal="center" vertical="center" wrapText="1"/>
    </xf>
    <xf numFmtId="0" fontId="6" fillId="6" borderId="4" xfId="2" applyFont="1" applyFill="1" applyBorder="1" applyAlignment="1" applyProtection="1">
      <alignment horizontal="center" vertical="center" wrapText="1"/>
    </xf>
    <xf numFmtId="0" fontId="24" fillId="0" borderId="2" xfId="2" applyFont="1" applyBorder="1" applyAlignment="1" applyProtection="1">
      <alignment horizontal="right" vertical="center" wrapText="1"/>
      <protection locked="0"/>
    </xf>
    <xf numFmtId="0" fontId="24" fillId="0" borderId="3" xfId="2" applyFont="1" applyBorder="1" applyAlignment="1" applyProtection="1">
      <alignment horizontal="right" vertical="center" wrapText="1"/>
      <protection locked="0"/>
    </xf>
    <xf numFmtId="0" fontId="24" fillId="0" borderId="143" xfId="2" applyFont="1" applyBorder="1" applyAlignment="1" applyProtection="1">
      <alignment horizontal="left" vertical="center"/>
      <protection locked="0"/>
    </xf>
    <xf numFmtId="0" fontId="24" fillId="0" borderId="3" xfId="2" applyFont="1" applyBorder="1" applyAlignment="1" applyProtection="1">
      <alignment horizontal="left" vertical="center"/>
      <protection locked="0"/>
    </xf>
    <xf numFmtId="0" fontId="24" fillId="0" borderId="4" xfId="2" applyFont="1" applyBorder="1" applyAlignment="1" applyProtection="1">
      <alignment horizontal="left" vertical="center"/>
      <protection locked="0"/>
    </xf>
    <xf numFmtId="0" fontId="24" fillId="0" borderId="145" xfId="2" applyFont="1" applyBorder="1" applyAlignment="1" applyProtection="1">
      <alignment horizontal="center" vertical="center"/>
      <protection locked="0"/>
    </xf>
    <xf numFmtId="0" fontId="24" fillId="0" borderId="146" xfId="2" applyFont="1" applyBorder="1" applyAlignment="1" applyProtection="1">
      <alignment horizontal="center" vertical="center"/>
      <protection locked="0"/>
    </xf>
    <xf numFmtId="0" fontId="24" fillId="0" borderId="147" xfId="2" applyFont="1" applyBorder="1" applyAlignment="1" applyProtection="1">
      <alignment horizontal="center" vertical="center"/>
      <protection locked="0"/>
    </xf>
    <xf numFmtId="0" fontId="60" fillId="0" borderId="0" xfId="2" applyFont="1" applyAlignment="1" applyProtection="1">
      <alignment horizontal="center" vertical="center" wrapText="1"/>
    </xf>
    <xf numFmtId="0" fontId="60" fillId="0" borderId="0" xfId="2" applyFont="1" applyAlignment="1" applyProtection="1">
      <alignment horizontal="center" vertical="center"/>
    </xf>
    <xf numFmtId="0" fontId="10" fillId="6" borderId="2" xfId="2" applyFont="1" applyFill="1" applyBorder="1" applyAlignment="1" applyProtection="1">
      <alignment horizontal="center" vertical="center"/>
    </xf>
    <xf numFmtId="0" fontId="10" fillId="6" borderId="3" xfId="2" applyFont="1" applyFill="1" applyBorder="1" applyAlignment="1" applyProtection="1">
      <alignment horizontal="center" vertical="center"/>
    </xf>
    <xf numFmtId="0" fontId="10" fillId="6" borderId="4" xfId="2" applyFont="1" applyFill="1" applyBorder="1" applyAlignment="1" applyProtection="1">
      <alignment horizontal="center" vertical="center"/>
    </xf>
    <xf numFmtId="0" fontId="24" fillId="0" borderId="2" xfId="2" applyFont="1" applyBorder="1" applyAlignment="1" applyProtection="1">
      <alignment horizontal="left" vertical="center" indent="1"/>
      <protection locked="0"/>
    </xf>
    <xf numFmtId="0" fontId="24" fillId="0" borderId="3" xfId="2" applyFont="1" applyBorder="1" applyAlignment="1" applyProtection="1">
      <alignment horizontal="left" vertical="center" indent="1"/>
      <protection locked="0"/>
    </xf>
    <xf numFmtId="0" fontId="24" fillId="0" borderId="4" xfId="2" applyFont="1" applyBorder="1" applyAlignment="1" applyProtection="1">
      <alignment horizontal="left" vertical="center" indent="1"/>
      <protection locked="0"/>
    </xf>
    <xf numFmtId="0" fontId="24" fillId="0" borderId="34" xfId="2" applyFont="1" applyBorder="1" applyAlignment="1" applyProtection="1">
      <alignment horizontal="left" vertical="center" wrapText="1" indent="1"/>
      <protection locked="0"/>
    </xf>
    <xf numFmtId="0" fontId="24" fillId="0" borderId="64" xfId="2" applyFont="1" applyBorder="1" applyAlignment="1" applyProtection="1">
      <alignment horizontal="left" vertical="center" wrapText="1" indent="1"/>
      <protection locked="0"/>
    </xf>
    <xf numFmtId="0" fontId="24" fillId="0" borderId="3" xfId="2" applyFont="1" applyBorder="1" applyAlignment="1" applyProtection="1">
      <alignment horizontal="left" vertical="center" wrapText="1" indent="1"/>
      <protection locked="0"/>
    </xf>
    <xf numFmtId="0" fontId="24" fillId="0" borderId="4" xfId="2" applyFont="1" applyBorder="1" applyAlignment="1" applyProtection="1">
      <alignment horizontal="left" vertical="center" wrapText="1" indent="1"/>
      <protection locked="0"/>
    </xf>
    <xf numFmtId="0" fontId="24" fillId="0" borderId="2" xfId="2" applyFont="1" applyBorder="1" applyAlignment="1" applyProtection="1">
      <alignment horizontal="center" vertical="center"/>
      <protection locked="0"/>
    </xf>
    <xf numFmtId="0" fontId="24" fillId="0" borderId="3" xfId="2" applyFont="1" applyBorder="1" applyAlignment="1" applyProtection="1">
      <alignment horizontal="center" vertical="center"/>
      <protection locked="0"/>
    </xf>
    <xf numFmtId="0" fontId="24" fillId="0" borderId="144" xfId="2" applyFont="1" applyBorder="1" applyAlignment="1" applyProtection="1">
      <alignment horizontal="center" vertical="center"/>
      <protection locked="0"/>
    </xf>
    <xf numFmtId="0" fontId="6" fillId="14" borderId="34" xfId="2" applyFont="1" applyFill="1" applyBorder="1" applyAlignment="1" applyProtection="1">
      <alignment horizontal="center" vertical="center"/>
    </xf>
    <xf numFmtId="0" fontId="6" fillId="14" borderId="64" xfId="2" applyFont="1" applyFill="1" applyBorder="1" applyAlignment="1" applyProtection="1">
      <alignment horizontal="center" vertical="center"/>
    </xf>
    <xf numFmtId="0" fontId="6" fillId="14" borderId="56" xfId="2" applyFont="1" applyFill="1" applyBorder="1" applyAlignment="1" applyProtection="1">
      <alignment horizontal="center" vertical="center"/>
    </xf>
    <xf numFmtId="0" fontId="6" fillId="14" borderId="70" xfId="2" applyFont="1" applyFill="1" applyBorder="1" applyAlignment="1" applyProtection="1">
      <alignment horizontal="center" vertical="center"/>
    </xf>
    <xf numFmtId="0" fontId="6" fillId="14" borderId="0" xfId="2" applyFont="1" applyFill="1" applyBorder="1" applyAlignment="1" applyProtection="1">
      <alignment horizontal="center" vertical="center"/>
    </xf>
    <xf numFmtId="0" fontId="6" fillId="14" borderId="62" xfId="2" applyFont="1" applyFill="1" applyBorder="1" applyAlignment="1" applyProtection="1">
      <alignment horizontal="center" vertical="center"/>
    </xf>
    <xf numFmtId="0" fontId="6" fillId="14" borderId="55" xfId="2" applyFont="1" applyFill="1" applyBorder="1" applyAlignment="1" applyProtection="1">
      <alignment horizontal="center" vertical="center"/>
    </xf>
    <xf numFmtId="0" fontId="6" fillId="14" borderId="5" xfId="2" applyFont="1" applyFill="1" applyBorder="1" applyAlignment="1" applyProtection="1">
      <alignment horizontal="center" vertical="center"/>
    </xf>
    <xf numFmtId="0" fontId="6" fillId="14" borderId="54" xfId="2" applyFont="1" applyFill="1" applyBorder="1" applyAlignment="1" applyProtection="1">
      <alignment horizontal="center" vertical="center"/>
    </xf>
    <xf numFmtId="0" fontId="24" fillId="0" borderId="2" xfId="2" applyFont="1" applyBorder="1" applyAlignment="1" applyProtection="1">
      <alignment horizontal="left" vertical="center"/>
      <protection locked="0"/>
    </xf>
    <xf numFmtId="0" fontId="67" fillId="0" borderId="0" xfId="2" applyFont="1" applyFill="1" applyAlignment="1" applyProtection="1">
      <alignment horizontal="left" vertical="center" shrinkToFit="1"/>
    </xf>
    <xf numFmtId="0" fontId="6" fillId="14" borderId="1" xfId="2" applyFont="1" applyFill="1" applyBorder="1" applyAlignment="1" applyProtection="1">
      <alignment horizontal="center" vertical="center"/>
    </xf>
    <xf numFmtId="0" fontId="24" fillId="0" borderId="2" xfId="2" applyFont="1" applyBorder="1" applyAlignment="1" applyProtection="1">
      <alignment horizontal="left" vertical="center" wrapText="1" indent="1"/>
      <protection locked="0"/>
    </xf>
    <xf numFmtId="0" fontId="6" fillId="6" borderId="1" xfId="2" applyFont="1" applyFill="1" applyBorder="1" applyAlignment="1" applyProtection="1">
      <alignment horizontal="center" vertical="center" wrapText="1"/>
    </xf>
    <xf numFmtId="187" fontId="24" fillId="0" borderId="1" xfId="2" applyNumberFormat="1" applyFont="1" applyBorder="1" applyAlignment="1" applyProtection="1">
      <alignment horizontal="center" vertical="center" wrapText="1"/>
      <protection hidden="1"/>
    </xf>
    <xf numFmtId="0" fontId="85" fillId="0" borderId="34" xfId="2" applyFont="1" applyFill="1" applyBorder="1" applyAlignment="1" applyProtection="1">
      <alignment horizontal="center" vertical="center" wrapText="1"/>
    </xf>
    <xf numFmtId="0" fontId="85" fillId="0" borderId="64" xfId="2" applyFont="1" applyFill="1" applyBorder="1" applyAlignment="1" applyProtection="1">
      <alignment horizontal="center" vertical="center" wrapText="1"/>
    </xf>
    <xf numFmtId="0" fontId="85" fillId="0" borderId="56" xfId="2" applyFont="1" applyFill="1" applyBorder="1" applyAlignment="1" applyProtection="1">
      <alignment horizontal="center" vertical="center" wrapText="1"/>
    </xf>
    <xf numFmtId="0" fontId="85" fillId="0" borderId="55" xfId="2" applyFont="1" applyFill="1" applyBorder="1" applyAlignment="1" applyProtection="1">
      <alignment horizontal="center" vertical="center" wrapText="1"/>
    </xf>
    <xf numFmtId="0" fontId="85" fillId="0" borderId="5" xfId="2" applyFont="1" applyFill="1" applyBorder="1" applyAlignment="1" applyProtection="1">
      <alignment horizontal="center" vertical="center" wrapText="1"/>
    </xf>
    <xf numFmtId="0" fontId="85" fillId="0" borderId="54" xfId="2" applyFont="1" applyFill="1" applyBorder="1" applyAlignment="1" applyProtection="1">
      <alignment horizontal="center" vertical="center" wrapText="1"/>
    </xf>
    <xf numFmtId="0" fontId="10" fillId="6" borderId="34" xfId="2" applyFont="1" applyFill="1" applyBorder="1" applyAlignment="1" applyProtection="1">
      <alignment horizontal="center" vertical="center"/>
    </xf>
    <xf numFmtId="0" fontId="10" fillId="6" borderId="64" xfId="2" applyFont="1" applyFill="1" applyBorder="1" applyAlignment="1" applyProtection="1">
      <alignment horizontal="center" vertical="center"/>
    </xf>
    <xf numFmtId="0" fontId="10" fillId="6" borderId="56" xfId="2" applyFont="1" applyFill="1" applyBorder="1" applyAlignment="1" applyProtection="1">
      <alignment horizontal="center" vertical="center"/>
    </xf>
    <xf numFmtId="0" fontId="10" fillId="6" borderId="55" xfId="2" applyFont="1" applyFill="1" applyBorder="1" applyAlignment="1" applyProtection="1">
      <alignment horizontal="center" vertical="center"/>
    </xf>
    <xf numFmtId="0" fontId="10" fillId="6" borderId="5" xfId="2" applyFont="1" applyFill="1" applyBorder="1" applyAlignment="1" applyProtection="1">
      <alignment horizontal="center" vertical="center"/>
    </xf>
    <xf numFmtId="0" fontId="10" fillId="6" borderId="54" xfId="2" applyFont="1" applyFill="1" applyBorder="1" applyAlignment="1" applyProtection="1">
      <alignment horizontal="center" vertical="center"/>
    </xf>
    <xf numFmtId="0" fontId="6" fillId="14" borderId="1" xfId="2" applyFont="1" applyFill="1" applyBorder="1" applyAlignment="1" applyProtection="1">
      <alignment horizontal="center" vertical="center" wrapText="1"/>
    </xf>
    <xf numFmtId="0" fontId="6" fillId="6" borderId="1" xfId="2" applyFont="1" applyFill="1" applyBorder="1" applyAlignment="1" applyProtection="1">
      <alignment horizontal="center" vertical="center" shrinkToFit="1"/>
    </xf>
    <xf numFmtId="0" fontId="24" fillId="0" borderId="1" xfId="2" applyFont="1" applyBorder="1" applyAlignment="1" applyProtection="1">
      <alignment horizontal="left" vertical="center" indent="1" shrinkToFit="1"/>
      <protection locked="0"/>
    </xf>
    <xf numFmtId="0" fontId="6" fillId="6" borderId="1" xfId="2" applyFont="1" applyFill="1" applyBorder="1" applyAlignment="1" applyProtection="1">
      <alignment horizontal="center" vertical="center"/>
    </xf>
    <xf numFmtId="0" fontId="63" fillId="0" borderId="1" xfId="8" applyFont="1" applyBorder="1" applyAlignment="1" applyProtection="1">
      <alignment horizontal="left" vertical="center" indent="1" shrinkToFit="1"/>
      <protection locked="0"/>
    </xf>
    <xf numFmtId="0" fontId="6" fillId="6" borderId="34" xfId="2" applyFont="1" applyFill="1" applyBorder="1" applyAlignment="1" applyProtection="1">
      <alignment horizontal="center" vertical="center" wrapText="1"/>
    </xf>
    <xf numFmtId="0" fontId="6" fillId="6" borderId="64" xfId="2" applyFont="1" applyFill="1" applyBorder="1" applyAlignment="1" applyProtection="1">
      <alignment horizontal="center" vertical="center" wrapText="1"/>
    </xf>
    <xf numFmtId="0" fontId="6" fillId="6" borderId="56" xfId="2" applyFont="1" applyFill="1" applyBorder="1" applyAlignment="1" applyProtection="1">
      <alignment horizontal="center" vertical="center" wrapText="1"/>
    </xf>
    <xf numFmtId="0" fontId="6" fillId="6" borderId="55" xfId="2" applyFont="1" applyFill="1" applyBorder="1" applyAlignment="1" applyProtection="1">
      <alignment horizontal="center" vertical="center" wrapText="1"/>
    </xf>
    <xf numFmtId="0" fontId="6" fillId="6" borderId="5" xfId="2" applyFont="1" applyFill="1" applyBorder="1" applyAlignment="1" applyProtection="1">
      <alignment horizontal="center" vertical="center" wrapText="1"/>
    </xf>
    <xf numFmtId="0" fontId="6" fillId="6" borderId="54" xfId="2" applyFont="1" applyFill="1" applyBorder="1" applyAlignment="1" applyProtection="1">
      <alignment horizontal="center" vertical="center" wrapText="1"/>
    </xf>
    <xf numFmtId="0" fontId="24" fillId="0" borderId="2" xfId="2" applyFont="1" applyBorder="1" applyAlignment="1" applyProtection="1">
      <alignment horizontal="left" vertical="center" indent="1" shrinkToFit="1"/>
      <protection locked="0"/>
    </xf>
    <xf numFmtId="0" fontId="24" fillId="0" borderId="3" xfId="2" applyFont="1" applyBorder="1" applyAlignment="1" applyProtection="1">
      <alignment horizontal="left" vertical="center" indent="1" shrinkToFit="1"/>
      <protection locked="0"/>
    </xf>
    <xf numFmtId="0" fontId="24" fillId="0" borderId="4" xfId="2" applyFont="1" applyBorder="1" applyAlignment="1" applyProtection="1">
      <alignment horizontal="left" vertical="center" indent="1" shrinkToFit="1"/>
      <protection locked="0"/>
    </xf>
    <xf numFmtId="0" fontId="6" fillId="6" borderId="2" xfId="2" applyFont="1" applyFill="1" applyBorder="1" applyAlignment="1" applyProtection="1">
      <alignment horizontal="center" vertical="center"/>
    </xf>
    <xf numFmtId="0" fontId="6" fillId="6" borderId="3" xfId="2" applyFont="1" applyFill="1" applyBorder="1" applyAlignment="1" applyProtection="1">
      <alignment horizontal="center" vertical="center"/>
    </xf>
    <xf numFmtId="0" fontId="6" fillId="6" borderId="4" xfId="2" applyFont="1" applyFill="1" applyBorder="1" applyAlignment="1" applyProtection="1">
      <alignment horizontal="center" vertical="center"/>
    </xf>
    <xf numFmtId="0" fontId="6" fillId="0" borderId="2" xfId="2" applyFont="1" applyBorder="1" applyAlignment="1" applyProtection="1">
      <alignment horizontal="left" vertical="center"/>
      <protection locked="0"/>
    </xf>
    <xf numFmtId="0" fontId="6" fillId="0" borderId="3" xfId="2" applyFont="1" applyBorder="1" applyAlignment="1" applyProtection="1">
      <alignment horizontal="left" vertical="center"/>
      <protection locked="0"/>
    </xf>
    <xf numFmtId="0" fontId="6" fillId="0" borderId="4" xfId="2" applyFont="1" applyBorder="1" applyAlignment="1" applyProtection="1">
      <alignment horizontal="left" vertical="center"/>
      <protection locked="0"/>
    </xf>
    <xf numFmtId="0" fontId="7" fillId="0" borderId="0" xfId="2" applyFont="1" applyAlignment="1" applyProtection="1">
      <alignment horizontal="left" vertical="center"/>
    </xf>
    <xf numFmtId="0" fontId="10" fillId="0" borderId="0" xfId="2" applyAlignment="1" applyProtection="1">
      <alignment horizontal="center" vertical="center"/>
    </xf>
    <xf numFmtId="0" fontId="6" fillId="0" borderId="2" xfId="2" applyFont="1" applyBorder="1" applyAlignment="1" applyProtection="1">
      <alignment horizontal="left" vertical="center" wrapText="1"/>
      <protection locked="0"/>
    </xf>
    <xf numFmtId="0" fontId="6" fillId="0" borderId="3" xfId="2" applyFont="1" applyBorder="1" applyAlignment="1" applyProtection="1">
      <alignment horizontal="left" vertical="center" wrapText="1"/>
      <protection locked="0"/>
    </xf>
    <xf numFmtId="0" fontId="6" fillId="0" borderId="4" xfId="2" applyFont="1" applyBorder="1" applyAlignment="1" applyProtection="1">
      <alignment horizontal="left" vertical="center" wrapText="1"/>
      <protection locked="0"/>
    </xf>
    <xf numFmtId="0" fontId="25" fillId="0" borderId="5" xfId="2" applyFont="1" applyBorder="1" applyAlignment="1" applyProtection="1">
      <alignment horizontal="center" vertical="center" wrapText="1"/>
      <protection locked="0"/>
    </xf>
    <xf numFmtId="0" fontId="25" fillId="0" borderId="54" xfId="2" applyFont="1" applyBorder="1" applyAlignment="1" applyProtection="1">
      <alignment horizontal="center" vertical="center" wrapText="1"/>
      <protection locked="0"/>
    </xf>
    <xf numFmtId="0" fontId="10" fillId="0" borderId="64" xfId="2" applyBorder="1" applyAlignment="1" applyProtection="1">
      <alignment horizontal="center" vertical="center"/>
      <protection hidden="1"/>
    </xf>
    <xf numFmtId="0" fontId="10" fillId="0" borderId="5" xfId="2" applyBorder="1" applyAlignment="1" applyProtection="1">
      <alignment horizontal="center" vertical="center"/>
      <protection hidden="1"/>
    </xf>
    <xf numFmtId="0" fontId="10" fillId="0" borderId="41" xfId="2" applyBorder="1" applyAlignment="1" applyProtection="1">
      <alignment horizontal="center" vertical="center"/>
      <protection locked="0"/>
    </xf>
    <xf numFmtId="0" fontId="10" fillId="0" borderId="42" xfId="2" applyBorder="1" applyAlignment="1" applyProtection="1">
      <alignment horizontal="center" vertical="center"/>
      <protection locked="0"/>
    </xf>
    <xf numFmtId="0" fontId="10" fillId="0" borderId="48" xfId="2" applyBorder="1" applyAlignment="1" applyProtection="1">
      <alignment horizontal="center" vertical="center"/>
      <protection locked="0"/>
    </xf>
    <xf numFmtId="0" fontId="10" fillId="0" borderId="49" xfId="2" applyBorder="1" applyAlignment="1" applyProtection="1">
      <alignment horizontal="center" vertical="center"/>
      <protection locked="0"/>
    </xf>
    <xf numFmtId="0" fontId="10" fillId="0" borderId="56" xfId="2" applyBorder="1" applyAlignment="1" applyProtection="1">
      <alignment horizontal="center" vertical="center"/>
      <protection hidden="1"/>
    </xf>
    <xf numFmtId="0" fontId="10" fillId="0" borderId="54" xfId="2" applyBorder="1" applyAlignment="1" applyProtection="1">
      <alignment horizontal="center" vertical="center"/>
      <protection hidden="1"/>
    </xf>
    <xf numFmtId="0" fontId="10" fillId="0" borderId="70" xfId="2" applyBorder="1" applyAlignment="1" applyProtection="1">
      <alignment horizontal="center" vertical="center"/>
      <protection hidden="1"/>
    </xf>
    <xf numFmtId="0" fontId="10" fillId="0" borderId="0" xfId="2" applyAlignment="1" applyProtection="1">
      <alignment horizontal="center" vertical="center"/>
      <protection hidden="1"/>
    </xf>
    <xf numFmtId="0" fontId="6" fillId="14" borderId="1" xfId="2" applyFont="1" applyFill="1" applyBorder="1" applyAlignment="1" applyProtection="1">
      <alignment horizontal="center" vertical="center"/>
      <protection hidden="1"/>
    </xf>
    <xf numFmtId="0" fontId="6" fillId="14" borderId="2" xfId="2" applyFont="1" applyFill="1" applyBorder="1" applyAlignment="1" applyProtection="1">
      <alignment horizontal="center" vertical="center"/>
      <protection hidden="1"/>
    </xf>
    <xf numFmtId="0" fontId="24" fillId="0" borderId="41" xfId="2" applyFont="1" applyBorder="1" applyAlignment="1" applyProtection="1">
      <alignment horizontal="center" vertical="center" wrapText="1"/>
      <protection locked="0"/>
    </xf>
    <xf numFmtId="0" fontId="24" fillId="0" borderId="66" xfId="2" applyFont="1" applyBorder="1" applyAlignment="1" applyProtection="1">
      <alignment horizontal="center" vertical="center" wrapText="1"/>
      <protection locked="0"/>
    </xf>
    <xf numFmtId="0" fontId="24" fillId="0" borderId="42" xfId="2" applyFont="1" applyBorder="1" applyAlignment="1" applyProtection="1">
      <alignment horizontal="center" vertical="center" wrapText="1"/>
      <protection locked="0"/>
    </xf>
    <xf numFmtId="0" fontId="24" fillId="0" borderId="48" xfId="2" applyFont="1" applyBorder="1" applyAlignment="1" applyProtection="1">
      <alignment horizontal="center" vertical="center" wrapText="1"/>
      <protection locked="0"/>
    </xf>
    <xf numFmtId="0" fontId="24" fillId="0" borderId="6" xfId="2" applyFont="1" applyBorder="1" applyAlignment="1" applyProtection="1">
      <alignment horizontal="center" vertical="center" wrapText="1"/>
      <protection locked="0"/>
    </xf>
    <xf numFmtId="0" fontId="24" fillId="0" borderId="49" xfId="2" applyFont="1" applyBorder="1" applyAlignment="1" applyProtection="1">
      <alignment horizontal="center" vertical="center" wrapText="1"/>
      <protection locked="0"/>
    </xf>
    <xf numFmtId="0" fontId="24" fillId="0" borderId="43" xfId="2" applyFont="1" applyBorder="1" applyAlignment="1" applyProtection="1">
      <alignment horizontal="center" vertical="center" wrapText="1"/>
      <protection hidden="1"/>
    </xf>
    <xf numFmtId="0" fontId="24" fillId="0" borderId="0" xfId="2" applyFont="1" applyBorder="1" applyAlignment="1" applyProtection="1">
      <alignment horizontal="center" vertical="center" wrapText="1"/>
      <protection hidden="1"/>
    </xf>
    <xf numFmtId="0" fontId="24" fillId="0" borderId="85" xfId="2" applyFont="1" applyBorder="1" applyAlignment="1" applyProtection="1">
      <alignment horizontal="center" vertical="center" wrapText="1"/>
      <protection hidden="1"/>
    </xf>
    <xf numFmtId="0" fontId="24" fillId="0" borderId="5" xfId="2" applyFont="1" applyBorder="1" applyAlignment="1" applyProtection="1">
      <alignment horizontal="center" vertical="center" wrapText="1"/>
      <protection hidden="1"/>
    </xf>
    <xf numFmtId="0" fontId="17" fillId="0" borderId="0" xfId="2" applyFont="1" applyAlignment="1" applyProtection="1">
      <alignment horizontal="left" vertical="center"/>
      <protection hidden="1"/>
    </xf>
    <xf numFmtId="0" fontId="10" fillId="14" borderId="34" xfId="2" applyFill="1" applyBorder="1" applyAlignment="1" applyProtection="1">
      <alignment horizontal="center" vertical="center"/>
      <protection hidden="1"/>
    </xf>
    <xf numFmtId="0" fontId="10" fillId="14" borderId="64" xfId="2" applyFill="1" applyBorder="1" applyAlignment="1" applyProtection="1">
      <alignment horizontal="center" vertical="center"/>
      <protection hidden="1"/>
    </xf>
    <xf numFmtId="0" fontId="10" fillId="14" borderId="56" xfId="2" applyFill="1" applyBorder="1" applyAlignment="1" applyProtection="1">
      <alignment horizontal="center" vertical="center"/>
      <protection hidden="1"/>
    </xf>
    <xf numFmtId="0" fontId="10" fillId="14" borderId="55" xfId="2" applyFill="1" applyBorder="1" applyAlignment="1" applyProtection="1">
      <alignment horizontal="center" vertical="center"/>
      <protection hidden="1"/>
    </xf>
    <xf numFmtId="0" fontId="10" fillId="14" borderId="5" xfId="2" applyFill="1" applyBorder="1" applyAlignment="1" applyProtection="1">
      <alignment horizontal="center" vertical="center"/>
      <protection hidden="1"/>
    </xf>
    <xf numFmtId="0" fontId="10" fillId="14" borderId="54" xfId="2" applyFill="1" applyBorder="1" applyAlignment="1" applyProtection="1">
      <alignment horizontal="center" vertical="center"/>
      <protection hidden="1"/>
    </xf>
    <xf numFmtId="0" fontId="10" fillId="0" borderId="34" xfId="2" applyBorder="1" applyAlignment="1" applyProtection="1">
      <alignment horizontal="center" vertical="center"/>
      <protection hidden="1"/>
    </xf>
    <xf numFmtId="0" fontId="10" fillId="0" borderId="0" xfId="2" applyBorder="1" applyAlignment="1" applyProtection="1">
      <alignment horizontal="center" vertical="center"/>
      <protection hidden="1"/>
    </xf>
    <xf numFmtId="0" fontId="10" fillId="0" borderId="43" xfId="2" applyBorder="1" applyAlignment="1" applyProtection="1">
      <alignment horizontal="center" vertical="center"/>
      <protection locked="0"/>
    </xf>
    <xf numFmtId="0" fontId="10" fillId="0" borderId="44" xfId="2" applyBorder="1" applyAlignment="1" applyProtection="1">
      <alignment horizontal="center" vertical="center"/>
      <protection locked="0"/>
    </xf>
    <xf numFmtId="0" fontId="25" fillId="14" borderId="34" xfId="2" applyFont="1" applyFill="1" applyBorder="1" applyAlignment="1" applyProtection="1">
      <alignment horizontal="center" vertical="center"/>
      <protection hidden="1"/>
    </xf>
    <xf numFmtId="0" fontId="25" fillId="14" borderId="64" xfId="2" applyFont="1" applyFill="1" applyBorder="1" applyAlignment="1" applyProtection="1">
      <alignment horizontal="center" vertical="center"/>
      <protection hidden="1"/>
    </xf>
    <xf numFmtId="0" fontId="25" fillId="14" borderId="56" xfId="2" applyFont="1" applyFill="1" applyBorder="1" applyAlignment="1" applyProtection="1">
      <alignment horizontal="center" vertical="center"/>
      <protection hidden="1"/>
    </xf>
    <xf numFmtId="0" fontId="25" fillId="14" borderId="70" xfId="2" applyFont="1" applyFill="1" applyBorder="1" applyAlignment="1" applyProtection="1">
      <alignment horizontal="center" vertical="center"/>
      <protection hidden="1"/>
    </xf>
    <xf numFmtId="0" fontId="25" fillId="14" borderId="0" xfId="2" applyFont="1" applyFill="1" applyBorder="1" applyAlignment="1" applyProtection="1">
      <alignment horizontal="center" vertical="center"/>
      <protection hidden="1"/>
    </xf>
    <xf numFmtId="0" fontId="25" fillId="14" borderId="62" xfId="2" applyFont="1" applyFill="1" applyBorder="1" applyAlignment="1" applyProtection="1">
      <alignment horizontal="center" vertical="center"/>
      <protection hidden="1"/>
    </xf>
    <xf numFmtId="0" fontId="25" fillId="14" borderId="55" xfId="2" applyFont="1" applyFill="1" applyBorder="1" applyAlignment="1" applyProtection="1">
      <alignment horizontal="center" vertical="center"/>
      <protection hidden="1"/>
    </xf>
    <xf numFmtId="0" fontId="25" fillId="14" borderId="5" xfId="2" applyFont="1" applyFill="1" applyBorder="1" applyAlignment="1" applyProtection="1">
      <alignment horizontal="center" vertical="center"/>
      <protection hidden="1"/>
    </xf>
    <xf numFmtId="0" fontId="25" fillId="14" borderId="54" xfId="2" applyFont="1" applyFill="1" applyBorder="1" applyAlignment="1" applyProtection="1">
      <alignment horizontal="center" vertical="center"/>
      <protection hidden="1"/>
    </xf>
    <xf numFmtId="0" fontId="10" fillId="0" borderId="70" xfId="2" applyFont="1" applyFill="1" applyBorder="1" applyAlignment="1" applyProtection="1">
      <alignment horizontal="center" vertical="center" shrinkToFit="1"/>
      <protection hidden="1"/>
    </xf>
    <xf numFmtId="0" fontId="10" fillId="0" borderId="0" xfId="2" applyFont="1" applyFill="1" applyBorder="1" applyAlignment="1" applyProtection="1">
      <alignment horizontal="center" vertical="center" shrinkToFit="1"/>
      <protection hidden="1"/>
    </xf>
    <xf numFmtId="0" fontId="10" fillId="0" borderId="62" xfId="2" applyFont="1" applyFill="1" applyBorder="1" applyAlignment="1" applyProtection="1">
      <alignment horizontal="center" vertical="center" shrinkToFit="1"/>
      <protection hidden="1"/>
    </xf>
    <xf numFmtId="0" fontId="12" fillId="0" borderId="70" xfId="2" applyFont="1" applyBorder="1" applyAlignment="1" applyProtection="1">
      <alignment horizontal="center" vertical="center" shrinkToFit="1"/>
      <protection hidden="1"/>
    </xf>
    <xf numFmtId="0" fontId="6" fillId="0" borderId="41" xfId="2" applyFont="1" applyBorder="1" applyAlignment="1" applyProtection="1">
      <alignment horizontal="center" vertical="center" shrinkToFit="1"/>
      <protection locked="0"/>
    </xf>
    <xf numFmtId="0" fontId="6" fillId="0" borderId="66" xfId="2" applyFont="1" applyBorder="1" applyAlignment="1" applyProtection="1">
      <alignment horizontal="center" vertical="center" shrinkToFit="1"/>
      <protection locked="0"/>
    </xf>
    <xf numFmtId="0" fontId="6" fillId="0" borderId="42" xfId="2" applyFont="1" applyBorder="1" applyAlignment="1" applyProtection="1">
      <alignment horizontal="center" vertical="center" shrinkToFit="1"/>
      <protection locked="0"/>
    </xf>
    <xf numFmtId="0" fontId="6" fillId="0" borderId="48" xfId="2" applyFont="1" applyBorder="1" applyAlignment="1" applyProtection="1">
      <alignment horizontal="center" vertical="center" shrinkToFit="1"/>
      <protection locked="0"/>
    </xf>
    <xf numFmtId="0" fontId="6" fillId="0" borderId="6" xfId="2" applyFont="1" applyBorder="1" applyAlignment="1" applyProtection="1">
      <alignment horizontal="center" vertical="center" shrinkToFit="1"/>
      <protection locked="0"/>
    </xf>
    <xf numFmtId="0" fontId="6" fillId="0" borderId="49" xfId="2" applyFont="1" applyBorder="1" applyAlignment="1" applyProtection="1">
      <alignment horizontal="center" vertical="center" shrinkToFit="1"/>
      <protection locked="0"/>
    </xf>
    <xf numFmtId="0" fontId="12" fillId="0" borderId="0" xfId="2" applyFont="1" applyBorder="1" applyAlignment="1" applyProtection="1">
      <alignment horizontal="center" vertical="center" shrinkToFit="1"/>
      <protection hidden="1"/>
    </xf>
    <xf numFmtId="0" fontId="6" fillId="0" borderId="34" xfId="2" applyFont="1" applyBorder="1" applyAlignment="1" applyProtection="1">
      <alignment horizontal="center" vertical="center" shrinkToFit="1"/>
      <protection locked="0"/>
    </xf>
    <xf numFmtId="0" fontId="6" fillId="0" borderId="64" xfId="2" applyFont="1" applyBorder="1" applyAlignment="1" applyProtection="1">
      <alignment horizontal="center" vertical="center" shrinkToFit="1"/>
      <protection locked="0"/>
    </xf>
    <xf numFmtId="0" fontId="6" fillId="0" borderId="56" xfId="2" applyFont="1" applyBorder="1" applyAlignment="1" applyProtection="1">
      <alignment horizontal="center" vertical="center" shrinkToFit="1"/>
      <protection locked="0"/>
    </xf>
    <xf numFmtId="0" fontId="6" fillId="0" borderId="55" xfId="2" applyFont="1" applyBorder="1" applyAlignment="1" applyProtection="1">
      <alignment horizontal="center" vertical="center" shrinkToFit="1"/>
      <protection locked="0"/>
    </xf>
    <xf numFmtId="0" fontId="6" fillId="0" borderId="5" xfId="2" applyFont="1" applyBorder="1" applyAlignment="1" applyProtection="1">
      <alignment horizontal="center" vertical="center" shrinkToFit="1"/>
      <protection locked="0"/>
    </xf>
    <xf numFmtId="0" fontId="6" fillId="0" borderId="54" xfId="2" applyFont="1" applyBorder="1" applyAlignment="1" applyProtection="1">
      <alignment horizontal="center" vertical="center" shrinkToFit="1"/>
      <protection locked="0"/>
    </xf>
    <xf numFmtId="0" fontId="10" fillId="0" borderId="70" xfId="2" applyFont="1" applyFill="1" applyBorder="1" applyAlignment="1" applyProtection="1">
      <alignment horizontal="center" shrinkToFit="1"/>
      <protection hidden="1"/>
    </xf>
    <xf numFmtId="0" fontId="10" fillId="0" borderId="0" xfId="2" applyFont="1" applyFill="1" applyBorder="1" applyAlignment="1" applyProtection="1">
      <alignment horizontal="center" shrinkToFit="1"/>
      <protection hidden="1"/>
    </xf>
    <xf numFmtId="0" fontId="10" fillId="0" borderId="62" xfId="2" applyFont="1" applyFill="1" applyBorder="1" applyAlignment="1" applyProtection="1">
      <alignment horizontal="center" shrinkToFit="1"/>
      <protection hidden="1"/>
    </xf>
    <xf numFmtId="0" fontId="10" fillId="0" borderId="103" xfId="2" applyFont="1" applyFill="1" applyBorder="1" applyAlignment="1" applyProtection="1">
      <alignment horizontal="center" shrinkToFit="1"/>
      <protection hidden="1"/>
    </xf>
    <xf numFmtId="0" fontId="10" fillId="0" borderId="148" xfId="2" applyFont="1" applyFill="1" applyBorder="1" applyAlignment="1" applyProtection="1">
      <alignment horizontal="center" shrinkToFit="1"/>
      <protection hidden="1"/>
    </xf>
    <xf numFmtId="0" fontId="10" fillId="0" borderId="104" xfId="2" applyFont="1" applyFill="1" applyBorder="1" applyAlignment="1" applyProtection="1">
      <alignment horizontal="center" shrinkToFit="1"/>
      <protection hidden="1"/>
    </xf>
    <xf numFmtId="0" fontId="6" fillId="0" borderId="149" xfId="2" applyFont="1" applyBorder="1" applyAlignment="1" applyProtection="1">
      <alignment horizontal="left" vertical="center" shrinkToFit="1"/>
      <protection locked="0"/>
    </xf>
    <xf numFmtId="0" fontId="6" fillId="0" borderId="150" xfId="2" applyFont="1" applyBorder="1" applyAlignment="1" applyProtection="1">
      <alignment horizontal="left" vertical="center" shrinkToFit="1"/>
      <protection locked="0"/>
    </xf>
    <xf numFmtId="0" fontId="6" fillId="0" borderId="151" xfId="2" applyFont="1" applyBorder="1" applyAlignment="1" applyProtection="1">
      <alignment horizontal="left" vertical="center" shrinkToFit="1"/>
      <protection locked="0"/>
    </xf>
    <xf numFmtId="0" fontId="6" fillId="0" borderId="70" xfId="2" applyFont="1" applyBorder="1" applyAlignment="1" applyProtection="1">
      <alignment horizontal="left" vertical="center" shrinkToFit="1"/>
      <protection locked="0"/>
    </xf>
    <xf numFmtId="0" fontId="6" fillId="0" borderId="0" xfId="2" applyFont="1" applyBorder="1" applyAlignment="1" applyProtection="1">
      <alignment horizontal="left" vertical="center" shrinkToFit="1"/>
      <protection locked="0"/>
    </xf>
    <xf numFmtId="0" fontId="6" fillId="0" borderId="62" xfId="2" applyFont="1" applyBorder="1" applyAlignment="1" applyProtection="1">
      <alignment horizontal="left" vertical="center" shrinkToFit="1"/>
      <protection locked="0"/>
    </xf>
    <xf numFmtId="0" fontId="6" fillId="0" borderId="2" xfId="2" applyFont="1" applyBorder="1" applyAlignment="1" applyProtection="1">
      <alignment horizontal="center" vertical="center" wrapText="1"/>
      <protection hidden="1"/>
    </xf>
    <xf numFmtId="0" fontId="6" fillId="0" borderId="3" xfId="2" applyFont="1" applyBorder="1" applyAlignment="1" applyProtection="1">
      <alignment horizontal="center" vertical="center" wrapText="1"/>
      <protection hidden="1"/>
    </xf>
    <xf numFmtId="0" fontId="6" fillId="0" borderId="16" xfId="2" applyFont="1" applyBorder="1" applyAlignment="1" applyProtection="1">
      <alignment horizontal="center" vertical="center" wrapText="1"/>
      <protection hidden="1"/>
    </xf>
    <xf numFmtId="0" fontId="7" fillId="0" borderId="28" xfId="2" applyFont="1" applyFill="1" applyBorder="1" applyAlignment="1" applyProtection="1">
      <alignment horizontal="left" vertical="center" wrapText="1"/>
      <protection hidden="1"/>
    </xf>
    <xf numFmtId="0" fontId="7" fillId="0" borderId="6" xfId="2" applyFont="1" applyFill="1" applyBorder="1" applyAlignment="1" applyProtection="1">
      <alignment horizontal="left" vertical="center" wrapText="1"/>
      <protection hidden="1"/>
    </xf>
    <xf numFmtId="0" fontId="7" fillId="0" borderId="138" xfId="2" applyFont="1" applyFill="1" applyBorder="1" applyAlignment="1" applyProtection="1">
      <alignment horizontal="left" vertical="center" wrapText="1"/>
      <protection hidden="1"/>
    </xf>
    <xf numFmtId="0" fontId="6" fillId="0" borderId="41" xfId="2" applyFont="1" applyBorder="1" applyAlignment="1" applyProtection="1">
      <alignment horizontal="left" vertical="center" wrapText="1"/>
      <protection locked="0"/>
    </xf>
    <xf numFmtId="0" fontId="6" fillId="0" borderId="66" xfId="2" applyFont="1" applyBorder="1" applyAlignment="1" applyProtection="1">
      <alignment horizontal="left" vertical="center" wrapText="1"/>
      <protection locked="0"/>
    </xf>
    <xf numFmtId="0" fontId="6" fillId="0" borderId="42" xfId="2" applyFont="1" applyBorder="1" applyAlignment="1" applyProtection="1">
      <alignment horizontal="left" vertical="center" wrapText="1"/>
      <protection locked="0"/>
    </xf>
    <xf numFmtId="0" fontId="6" fillId="0" borderId="48" xfId="2" applyFont="1" applyBorder="1" applyAlignment="1" applyProtection="1">
      <alignment horizontal="left" vertical="center" wrapText="1"/>
      <protection locked="0"/>
    </xf>
    <xf numFmtId="0" fontId="6" fillId="0" borderId="6" xfId="2" applyFont="1" applyBorder="1" applyAlignment="1" applyProtection="1">
      <alignment horizontal="left" vertical="center" wrapText="1"/>
      <protection locked="0"/>
    </xf>
    <xf numFmtId="0" fontId="6" fillId="0" borderId="49" xfId="2" applyFont="1" applyBorder="1" applyAlignment="1" applyProtection="1">
      <alignment horizontal="left" vertical="center" wrapText="1"/>
      <protection locked="0"/>
    </xf>
    <xf numFmtId="0" fontId="67" fillId="0" borderId="2" xfId="2" applyFont="1" applyBorder="1" applyAlignment="1" applyProtection="1">
      <alignment horizontal="left" vertical="center"/>
      <protection hidden="1"/>
    </xf>
    <xf numFmtId="0" fontId="67" fillId="0" borderId="3" xfId="2" applyFont="1" applyBorder="1" applyAlignment="1" applyProtection="1">
      <alignment horizontal="left" vertical="center"/>
      <protection hidden="1"/>
    </xf>
    <xf numFmtId="0" fontId="67" fillId="0" borderId="4" xfId="2" applyFont="1" applyBorder="1" applyAlignment="1" applyProtection="1">
      <alignment horizontal="left" vertical="center"/>
      <protection hidden="1"/>
    </xf>
    <xf numFmtId="0" fontId="25" fillId="14" borderId="34" xfId="2" applyFont="1" applyFill="1" applyBorder="1" applyAlignment="1" applyProtection="1">
      <alignment horizontal="center" vertical="center" wrapText="1"/>
      <protection hidden="1"/>
    </xf>
    <xf numFmtId="0" fontId="25" fillId="14" borderId="64" xfId="2" applyFont="1" applyFill="1" applyBorder="1" applyAlignment="1" applyProtection="1">
      <alignment horizontal="center" vertical="center" wrapText="1"/>
      <protection hidden="1"/>
    </xf>
    <xf numFmtId="0" fontId="25" fillId="14" borderId="70" xfId="2" applyFont="1" applyFill="1" applyBorder="1" applyAlignment="1" applyProtection="1">
      <alignment horizontal="center" vertical="center" wrapText="1"/>
      <protection hidden="1"/>
    </xf>
    <xf numFmtId="0" fontId="25" fillId="14" borderId="0" xfId="2" applyFont="1" applyFill="1" applyBorder="1" applyAlignment="1" applyProtection="1">
      <alignment horizontal="center" vertical="center" wrapText="1"/>
      <protection hidden="1"/>
    </xf>
    <xf numFmtId="0" fontId="25" fillId="14" borderId="55" xfId="2" applyFont="1" applyFill="1" applyBorder="1" applyAlignment="1" applyProtection="1">
      <alignment horizontal="center" vertical="center" wrapText="1"/>
      <protection hidden="1"/>
    </xf>
    <xf numFmtId="0" fontId="25" fillId="14" borderId="5" xfId="2" applyFont="1" applyFill="1" applyBorder="1" applyAlignment="1" applyProtection="1">
      <alignment horizontal="center" vertical="center" wrapText="1"/>
      <protection hidden="1"/>
    </xf>
    <xf numFmtId="0" fontId="6" fillId="0" borderId="41" xfId="2" applyFont="1" applyBorder="1" applyAlignment="1" applyProtection="1">
      <alignment horizontal="center" vertical="center" wrapText="1"/>
      <protection locked="0"/>
    </xf>
    <xf numFmtId="0" fontId="6" fillId="0" borderId="66" xfId="2" applyFont="1" applyBorder="1" applyAlignment="1" applyProtection="1">
      <alignment horizontal="center" vertical="center" wrapText="1"/>
      <protection locked="0"/>
    </xf>
    <xf numFmtId="0" fontId="6" fillId="0" borderId="42" xfId="2" applyFont="1" applyBorder="1" applyAlignment="1" applyProtection="1">
      <alignment horizontal="center" vertical="center" wrapText="1"/>
      <protection locked="0"/>
    </xf>
    <xf numFmtId="0" fontId="6" fillId="0" borderId="43" xfId="2" applyFont="1" applyBorder="1" applyAlignment="1" applyProtection="1">
      <alignment horizontal="center" vertical="center" wrapText="1"/>
      <protection locked="0"/>
    </xf>
    <xf numFmtId="0" fontId="6" fillId="0" borderId="0" xfId="2" applyFont="1" applyBorder="1" applyAlignment="1" applyProtection="1">
      <alignment horizontal="center" vertical="center" wrapText="1"/>
      <protection locked="0"/>
    </xf>
    <xf numFmtId="0" fontId="6" fillId="0" borderId="44" xfId="2" applyFont="1" applyBorder="1" applyAlignment="1" applyProtection="1">
      <alignment horizontal="center" vertical="center" wrapText="1"/>
      <protection locked="0"/>
    </xf>
    <xf numFmtId="0" fontId="6" fillId="0" borderId="48" xfId="2" applyFont="1" applyBorder="1" applyAlignment="1" applyProtection="1">
      <alignment horizontal="center" vertical="center" wrapText="1"/>
      <protection locked="0"/>
    </xf>
    <xf numFmtId="0" fontId="6" fillId="0" borderId="6" xfId="2" applyFont="1" applyBorder="1" applyAlignment="1" applyProtection="1">
      <alignment horizontal="center" vertical="center" wrapText="1"/>
      <protection locked="0"/>
    </xf>
    <xf numFmtId="0" fontId="6" fillId="0" borderId="49" xfId="2" applyFont="1" applyBorder="1" applyAlignment="1" applyProtection="1">
      <alignment horizontal="center" vertical="center" wrapText="1"/>
      <protection locked="0"/>
    </xf>
    <xf numFmtId="0" fontId="6" fillId="0" borderId="106" xfId="2" applyFont="1" applyBorder="1" applyAlignment="1" applyProtection="1">
      <alignment horizontal="center" vertical="center" wrapText="1"/>
      <protection hidden="1"/>
    </xf>
    <xf numFmtId="0" fontId="6" fillId="0" borderId="101" xfId="2" applyFont="1" applyBorder="1" applyAlignment="1" applyProtection="1">
      <alignment horizontal="center" vertical="center" wrapText="1"/>
      <protection hidden="1"/>
    </xf>
    <xf numFmtId="0" fontId="6" fillId="0" borderId="142" xfId="2" applyFont="1" applyBorder="1" applyAlignment="1" applyProtection="1">
      <alignment horizontal="center" vertical="center" wrapText="1"/>
      <protection hidden="1"/>
    </xf>
    <xf numFmtId="0" fontId="6" fillId="0" borderId="152" xfId="2" applyFont="1" applyBorder="1" applyAlignment="1" applyProtection="1">
      <alignment horizontal="left" vertical="center" wrapText="1"/>
      <protection locked="0"/>
    </xf>
    <xf numFmtId="0" fontId="6" fillId="0" borderId="150" xfId="2" applyFont="1" applyBorder="1" applyAlignment="1" applyProtection="1">
      <alignment horizontal="left" vertical="center" wrapText="1"/>
      <protection locked="0"/>
    </xf>
    <xf numFmtId="0" fontId="6" fillId="0" borderId="151" xfId="2" applyFont="1" applyBorder="1" applyAlignment="1" applyProtection="1">
      <alignment horizontal="left" vertical="center" wrapText="1"/>
      <protection locked="0"/>
    </xf>
    <xf numFmtId="0" fontId="6" fillId="0" borderId="43" xfId="2" applyFont="1" applyBorder="1" applyAlignment="1" applyProtection="1">
      <alignment horizontal="left" vertical="center" wrapText="1"/>
      <protection locked="0"/>
    </xf>
    <xf numFmtId="0" fontId="6" fillId="0" borderId="0" xfId="2" applyFont="1" applyBorder="1" applyAlignment="1" applyProtection="1">
      <alignment horizontal="left" vertical="center" wrapText="1"/>
      <protection locked="0"/>
    </xf>
    <xf numFmtId="0" fontId="6" fillId="0" borderId="62" xfId="2" applyFont="1" applyBorder="1" applyAlignment="1" applyProtection="1">
      <alignment horizontal="left" vertical="center" wrapText="1"/>
      <protection locked="0"/>
    </xf>
    <xf numFmtId="0" fontId="6" fillId="0" borderId="85" xfId="2" applyFont="1" applyBorder="1" applyAlignment="1" applyProtection="1">
      <alignment horizontal="left" vertical="center" wrapText="1"/>
      <protection locked="0"/>
    </xf>
    <xf numFmtId="0" fontId="6" fillId="0" borderId="5" xfId="2" applyFont="1" applyBorder="1" applyAlignment="1" applyProtection="1">
      <alignment horizontal="left" vertical="center" wrapText="1"/>
      <protection locked="0"/>
    </xf>
    <xf numFmtId="0" fontId="6" fillId="0" borderId="54" xfId="2" applyFont="1" applyBorder="1" applyAlignment="1" applyProtection="1">
      <alignment horizontal="left" vertical="center" wrapText="1"/>
      <protection locked="0"/>
    </xf>
    <xf numFmtId="0" fontId="88" fillId="14" borderId="34" xfId="2" applyFont="1" applyFill="1" applyBorder="1" applyAlignment="1" applyProtection="1">
      <alignment horizontal="center" vertical="center" textRotation="255" wrapText="1"/>
      <protection hidden="1"/>
    </xf>
    <xf numFmtId="0" fontId="88" fillId="14" borderId="64" xfId="2" applyFont="1" applyFill="1" applyBorder="1" applyAlignment="1" applyProtection="1">
      <alignment horizontal="center" vertical="center" textRotation="255" wrapText="1"/>
      <protection hidden="1"/>
    </xf>
    <xf numFmtId="0" fontId="88" fillId="14" borderId="70" xfId="2" applyFont="1" applyFill="1" applyBorder="1" applyAlignment="1" applyProtection="1">
      <alignment horizontal="center" vertical="center" textRotation="255" wrapText="1"/>
      <protection hidden="1"/>
    </xf>
    <xf numFmtId="0" fontId="88" fillId="14" borderId="0" xfId="2" applyFont="1" applyFill="1" applyBorder="1" applyAlignment="1" applyProtection="1">
      <alignment horizontal="center" vertical="center" textRotation="255" wrapText="1"/>
      <protection hidden="1"/>
    </xf>
    <xf numFmtId="0" fontId="88" fillId="14" borderId="55" xfId="2" applyFont="1" applyFill="1" applyBorder="1" applyAlignment="1" applyProtection="1">
      <alignment horizontal="center" vertical="center" textRotation="255" wrapText="1"/>
      <protection hidden="1"/>
    </xf>
    <xf numFmtId="0" fontId="88" fillId="14" borderId="5" xfId="2" applyFont="1" applyFill="1" applyBorder="1" applyAlignment="1" applyProtection="1">
      <alignment horizontal="center" vertical="center" textRotation="255" wrapText="1"/>
      <protection hidden="1"/>
    </xf>
    <xf numFmtId="0" fontId="10" fillId="0" borderId="70" xfId="2" applyFont="1" applyFill="1" applyBorder="1" applyAlignment="1" applyProtection="1">
      <alignment horizontal="left" vertical="center" wrapText="1"/>
      <protection hidden="1"/>
    </xf>
    <xf numFmtId="0" fontId="10" fillId="0" borderId="0" xfId="2" applyFont="1" applyFill="1" applyBorder="1" applyAlignment="1" applyProtection="1">
      <alignment horizontal="left" vertical="center" wrapText="1"/>
      <protection hidden="1"/>
    </xf>
    <xf numFmtId="0" fontId="10" fillId="0" borderId="62" xfId="2" applyFont="1" applyFill="1" applyBorder="1" applyAlignment="1" applyProtection="1">
      <alignment horizontal="left" vertical="center" wrapText="1"/>
      <protection hidden="1"/>
    </xf>
    <xf numFmtId="0" fontId="6" fillId="0" borderId="33" xfId="2" applyFont="1" applyBorder="1" applyAlignment="1" applyProtection="1">
      <alignment horizontal="center" vertical="top"/>
      <protection hidden="1"/>
    </xf>
    <xf numFmtId="0" fontId="6" fillId="0" borderId="1" xfId="2" applyFont="1" applyBorder="1" applyAlignment="1" applyProtection="1">
      <alignment horizontal="center" vertical="top"/>
      <protection hidden="1"/>
    </xf>
    <xf numFmtId="0" fontId="15" fillId="0" borderId="36" xfId="2" applyFont="1" applyBorder="1" applyAlignment="1" applyProtection="1">
      <alignment horizontal="center" vertical="center"/>
      <protection locked="0"/>
    </xf>
    <xf numFmtId="0" fontId="15" fillId="0" borderId="39" xfId="2" applyFont="1" applyBorder="1" applyAlignment="1" applyProtection="1">
      <alignment horizontal="center" vertical="center"/>
      <protection locked="0"/>
    </xf>
    <xf numFmtId="0" fontId="6" fillId="0" borderId="4" xfId="2" applyFont="1" applyBorder="1" applyAlignment="1" applyProtection="1">
      <alignment horizontal="left" vertical="center" wrapText="1"/>
      <protection hidden="1"/>
    </xf>
    <xf numFmtId="0" fontId="6" fillId="0" borderId="1" xfId="2" applyFont="1" applyBorder="1" applyAlignment="1" applyProtection="1">
      <alignment horizontal="left" vertical="center" wrapText="1"/>
      <protection hidden="1"/>
    </xf>
    <xf numFmtId="0" fontId="6" fillId="0" borderId="2" xfId="2" applyFont="1" applyBorder="1" applyAlignment="1" applyProtection="1">
      <alignment horizontal="left" vertical="center" wrapText="1"/>
      <protection hidden="1"/>
    </xf>
    <xf numFmtId="0" fontId="6" fillId="0" borderId="153" xfId="2" applyFont="1" applyBorder="1" applyAlignment="1" applyProtection="1">
      <alignment horizontal="center" vertical="center"/>
      <protection locked="0"/>
    </xf>
    <xf numFmtId="0" fontId="6" fillId="0" borderId="139" xfId="2" applyFont="1" applyBorder="1" applyAlignment="1" applyProtection="1">
      <alignment horizontal="center" vertical="center"/>
      <protection locked="0"/>
    </xf>
    <xf numFmtId="0" fontId="6" fillId="0" borderId="154" xfId="2" applyFont="1" applyBorder="1" applyAlignment="1" applyProtection="1">
      <alignment horizontal="center" vertical="center"/>
      <protection locked="0"/>
    </xf>
    <xf numFmtId="0" fontId="10" fillId="0" borderId="153" xfId="2" applyFont="1" applyBorder="1" applyAlignment="1" applyProtection="1">
      <alignment horizontal="center" vertical="center"/>
      <protection locked="0"/>
    </xf>
    <xf numFmtId="0" fontId="10" fillId="0" borderId="139" xfId="2" applyFont="1" applyBorder="1" applyAlignment="1" applyProtection="1">
      <alignment horizontal="center" vertical="center"/>
      <protection locked="0"/>
    </xf>
    <xf numFmtId="0" fontId="10" fillId="0" borderId="154" xfId="2" applyFont="1" applyBorder="1" applyAlignment="1" applyProtection="1">
      <alignment horizontal="center" vertical="center"/>
      <protection locked="0"/>
    </xf>
    <xf numFmtId="0" fontId="6" fillId="0" borderId="155" xfId="2" applyFont="1" applyBorder="1" applyAlignment="1" applyProtection="1">
      <alignment horizontal="center" vertical="center"/>
      <protection locked="0"/>
    </xf>
    <xf numFmtId="0" fontId="6" fillId="0" borderId="156" xfId="2" applyFont="1" applyBorder="1" applyAlignment="1" applyProtection="1">
      <alignment horizontal="center" vertical="center"/>
      <protection locked="0"/>
    </xf>
    <xf numFmtId="0" fontId="6" fillId="0" borderId="157" xfId="2" applyFont="1" applyBorder="1" applyAlignment="1" applyProtection="1">
      <alignment horizontal="center" vertical="center"/>
      <protection locked="0"/>
    </xf>
    <xf numFmtId="0" fontId="89" fillId="0" borderId="155" xfId="2" applyFont="1" applyBorder="1" applyAlignment="1" applyProtection="1">
      <alignment horizontal="center" vertical="center"/>
      <protection locked="0"/>
    </xf>
    <xf numFmtId="0" fontId="89" fillId="0" borderId="156" xfId="2" applyFont="1" applyBorder="1" applyAlignment="1" applyProtection="1">
      <alignment horizontal="center" vertical="center"/>
      <protection locked="0"/>
    </xf>
    <xf numFmtId="0" fontId="89" fillId="0" borderId="157" xfId="2" applyFont="1" applyBorder="1" applyAlignment="1" applyProtection="1">
      <alignment horizontal="center" vertical="center"/>
      <protection locked="0"/>
    </xf>
    <xf numFmtId="0" fontId="6" fillId="0" borderId="48" xfId="2" applyFont="1" applyBorder="1" applyAlignment="1" applyProtection="1">
      <alignment horizontal="center" vertical="center"/>
      <protection locked="0"/>
    </xf>
    <xf numFmtId="0" fontId="6" fillId="0" borderId="6" xfId="2" applyFont="1" applyBorder="1" applyAlignment="1" applyProtection="1">
      <alignment horizontal="center" vertical="center"/>
      <protection locked="0"/>
    </xf>
    <xf numFmtId="0" fontId="6" fillId="0" borderId="49" xfId="2" applyFont="1" applyBorder="1" applyAlignment="1" applyProtection="1">
      <alignment horizontal="center" vertical="center"/>
      <protection locked="0"/>
    </xf>
    <xf numFmtId="0" fontId="6" fillId="0" borderId="70" xfId="2" applyFont="1" applyBorder="1" applyAlignment="1" applyProtection="1">
      <alignment horizontal="center" vertical="center" wrapText="1"/>
      <protection hidden="1"/>
    </xf>
    <xf numFmtId="0" fontId="6" fillId="0" borderId="0" xfId="2" applyFont="1" applyBorder="1" applyAlignment="1" applyProtection="1">
      <alignment horizontal="center" vertical="center"/>
      <protection hidden="1"/>
    </xf>
    <xf numFmtId="0" fontId="6" fillId="0" borderId="64" xfId="2" applyFont="1" applyBorder="1" applyAlignment="1" applyProtection="1">
      <alignment horizontal="center" vertical="center"/>
      <protection hidden="1"/>
    </xf>
    <xf numFmtId="0" fontId="6" fillId="0" borderId="62" xfId="2" applyFont="1" applyBorder="1" applyAlignment="1" applyProtection="1">
      <alignment horizontal="center" vertical="center"/>
      <protection hidden="1"/>
    </xf>
    <xf numFmtId="0" fontId="6" fillId="0" borderId="70" xfId="2" applyFont="1" applyBorder="1" applyAlignment="1" applyProtection="1">
      <alignment horizontal="center" vertical="center"/>
      <protection hidden="1"/>
    </xf>
    <xf numFmtId="0" fontId="6" fillId="0" borderId="55" xfId="2" applyFont="1" applyBorder="1" applyAlignment="1" applyProtection="1">
      <alignment horizontal="center" vertical="center"/>
      <protection hidden="1"/>
    </xf>
    <xf numFmtId="0" fontId="6" fillId="0" borderId="5" xfId="2" applyFont="1" applyBorder="1" applyAlignment="1" applyProtection="1">
      <alignment horizontal="center" vertical="center"/>
      <protection hidden="1"/>
    </xf>
    <xf numFmtId="0" fontId="6" fillId="0" borderId="54" xfId="2" applyFont="1" applyBorder="1" applyAlignment="1" applyProtection="1">
      <alignment horizontal="center" vertical="center"/>
      <protection hidden="1"/>
    </xf>
    <xf numFmtId="0" fontId="10" fillId="0" borderId="55" xfId="2" applyFont="1" applyBorder="1" applyAlignment="1" applyProtection="1">
      <alignment horizontal="center" vertical="center"/>
      <protection hidden="1"/>
    </xf>
    <xf numFmtId="0" fontId="10" fillId="0" borderId="5" xfId="2" applyFont="1" applyBorder="1" applyAlignment="1" applyProtection="1">
      <alignment horizontal="center" vertical="center"/>
      <protection hidden="1"/>
    </xf>
    <xf numFmtId="0" fontId="10" fillId="0" borderId="54" xfId="2" applyFont="1" applyBorder="1" applyAlignment="1" applyProtection="1">
      <alignment horizontal="center" vertical="center"/>
      <protection hidden="1"/>
    </xf>
    <xf numFmtId="0" fontId="15" fillId="0" borderId="57" xfId="2" applyFont="1" applyBorder="1" applyAlignment="1" applyProtection="1">
      <alignment horizontal="center" vertical="center"/>
      <protection locked="0"/>
    </xf>
    <xf numFmtId="0" fontId="15" fillId="0" borderId="33" xfId="2" applyFont="1" applyBorder="1" applyAlignment="1" applyProtection="1">
      <alignment horizontal="center" vertical="center"/>
      <protection locked="0"/>
    </xf>
    <xf numFmtId="0" fontId="6" fillId="0" borderId="56" xfId="2" applyFont="1" applyBorder="1" applyAlignment="1" applyProtection="1">
      <alignment horizontal="center" vertical="center"/>
      <protection hidden="1"/>
    </xf>
    <xf numFmtId="0" fontId="10" fillId="0" borderId="2" xfId="2" applyFont="1" applyBorder="1" applyAlignment="1" applyProtection="1">
      <alignment horizontal="center" vertical="center"/>
      <protection hidden="1"/>
    </xf>
    <xf numFmtId="0" fontId="10" fillId="0" borderId="3" xfId="2" applyFont="1" applyBorder="1" applyAlignment="1" applyProtection="1">
      <alignment horizontal="center" vertical="center"/>
      <protection hidden="1"/>
    </xf>
    <xf numFmtId="0" fontId="10" fillId="0" borderId="4" xfId="2" applyFont="1" applyBorder="1" applyAlignment="1" applyProtection="1">
      <alignment horizontal="center" vertical="center"/>
      <protection hidden="1"/>
    </xf>
    <xf numFmtId="0" fontId="15" fillId="0" borderId="2" xfId="2" applyFont="1" applyBorder="1" applyAlignment="1" applyProtection="1">
      <alignment horizontal="center" vertical="center"/>
      <protection locked="0"/>
    </xf>
    <xf numFmtId="0" fontId="15" fillId="0" borderId="3" xfId="2" applyFont="1" applyBorder="1" applyAlignment="1" applyProtection="1">
      <alignment horizontal="center" vertical="center"/>
      <protection locked="0"/>
    </xf>
    <xf numFmtId="0" fontId="15" fillId="0" borderId="4" xfId="2" applyFont="1" applyBorder="1" applyAlignment="1" applyProtection="1">
      <alignment horizontal="center" vertical="center"/>
      <protection locked="0"/>
    </xf>
    <xf numFmtId="0" fontId="15" fillId="0" borderId="55" xfId="2" applyFont="1" applyBorder="1" applyAlignment="1" applyProtection="1">
      <alignment horizontal="center" vertical="center"/>
      <protection locked="0"/>
    </xf>
    <xf numFmtId="0" fontId="15" fillId="0" borderId="5" xfId="2" applyFont="1" applyBorder="1" applyAlignment="1" applyProtection="1">
      <alignment horizontal="center" vertical="center"/>
      <protection locked="0"/>
    </xf>
    <xf numFmtId="0" fontId="15" fillId="0" borderId="54" xfId="2" applyFont="1" applyBorder="1" applyAlignment="1" applyProtection="1">
      <alignment horizontal="center" vertical="center"/>
      <protection locked="0"/>
    </xf>
    <xf numFmtId="0" fontId="6" fillId="0" borderId="1" xfId="2" applyFont="1" applyBorder="1" applyAlignment="1" applyProtection="1">
      <alignment horizontal="center" vertical="center"/>
      <protection hidden="1"/>
    </xf>
    <xf numFmtId="188" fontId="10" fillId="0" borderId="1" xfId="2" applyNumberFormat="1" applyBorder="1" applyAlignment="1" applyProtection="1">
      <alignment horizontal="right" vertical="center" wrapText="1"/>
      <protection hidden="1"/>
    </xf>
    <xf numFmtId="188" fontId="10" fillId="0" borderId="2" xfId="2" applyNumberFormat="1" applyBorder="1" applyAlignment="1" applyProtection="1">
      <alignment horizontal="right" vertical="center" wrapText="1"/>
      <protection hidden="1"/>
    </xf>
    <xf numFmtId="0" fontId="6" fillId="0" borderId="4" xfId="2" applyFont="1" applyBorder="1" applyAlignment="1" applyProtection="1">
      <alignment horizontal="center" vertical="center"/>
      <protection hidden="1"/>
    </xf>
    <xf numFmtId="0" fontId="10" fillId="0" borderId="2" xfId="2" applyBorder="1" applyAlignment="1" applyProtection="1">
      <alignment horizontal="center" vertical="center" wrapText="1"/>
      <protection hidden="1"/>
    </xf>
    <xf numFmtId="0" fontId="10" fillId="0" borderId="3" xfId="2" applyBorder="1" applyAlignment="1" applyProtection="1">
      <alignment horizontal="center" vertical="center"/>
      <protection hidden="1"/>
    </xf>
    <xf numFmtId="0" fontId="10" fillId="0" borderId="4" xfId="2" applyBorder="1" applyAlignment="1" applyProtection="1">
      <alignment horizontal="center" vertical="center"/>
      <protection hidden="1"/>
    </xf>
    <xf numFmtId="189" fontId="15" fillId="0" borderId="0" xfId="2" applyNumberFormat="1" applyFont="1" applyBorder="1" applyAlignment="1" applyProtection="1">
      <alignment horizontal="center" vertical="center"/>
      <protection hidden="1"/>
    </xf>
    <xf numFmtId="0" fontId="10" fillId="0" borderId="0" xfId="2" applyBorder="1" applyAlignment="1" applyProtection="1">
      <alignment horizontal="center" vertical="center" shrinkToFit="1"/>
      <protection hidden="1"/>
    </xf>
    <xf numFmtId="0" fontId="10" fillId="0" borderId="0" xfId="2" applyBorder="1" applyAlignment="1" applyProtection="1">
      <alignment horizontal="left" vertical="center" wrapText="1"/>
      <protection hidden="1"/>
    </xf>
    <xf numFmtId="0" fontId="7" fillId="0" borderId="55" xfId="2" applyFont="1" applyFill="1" applyBorder="1" applyAlignment="1" applyProtection="1">
      <alignment horizontal="center" vertical="center" wrapText="1"/>
      <protection hidden="1"/>
    </xf>
    <xf numFmtId="0" fontId="7" fillId="0" borderId="5" xfId="2" applyFont="1" applyFill="1" applyBorder="1" applyAlignment="1" applyProtection="1">
      <alignment horizontal="center" vertical="center" wrapText="1"/>
      <protection hidden="1"/>
    </xf>
    <xf numFmtId="0" fontId="7" fillId="0" borderId="158" xfId="2" applyFont="1" applyFill="1" applyBorder="1" applyAlignment="1" applyProtection="1">
      <alignment horizontal="center" vertical="center" wrapText="1"/>
      <protection hidden="1"/>
    </xf>
    <xf numFmtId="0" fontId="7" fillId="0" borderId="159" xfId="2" applyFont="1" applyFill="1" applyBorder="1" applyAlignment="1" applyProtection="1">
      <alignment horizontal="center" vertical="center" wrapText="1"/>
      <protection hidden="1"/>
    </xf>
    <xf numFmtId="0" fontId="7" fillId="0" borderId="161" xfId="2" applyFont="1" applyFill="1" applyBorder="1" applyAlignment="1" applyProtection="1">
      <alignment horizontal="center" vertical="center" wrapText="1"/>
      <protection hidden="1"/>
    </xf>
    <xf numFmtId="0" fontId="7" fillId="0" borderId="160" xfId="2" applyFont="1" applyFill="1" applyBorder="1" applyAlignment="1" applyProtection="1">
      <alignment horizontal="center" vertical="center" wrapText="1"/>
      <protection hidden="1"/>
    </xf>
    <xf numFmtId="0" fontId="7" fillId="0" borderId="162" xfId="2" applyFont="1" applyFill="1" applyBorder="1" applyAlignment="1" applyProtection="1">
      <alignment horizontal="center" vertical="center" wrapText="1"/>
      <protection hidden="1"/>
    </xf>
    <xf numFmtId="0" fontId="10" fillId="0" borderId="1" xfId="2" applyBorder="1" applyAlignment="1" applyProtection="1">
      <alignment horizontal="center" vertical="center"/>
      <protection hidden="1"/>
    </xf>
    <xf numFmtId="0" fontId="6" fillId="0" borderId="58" xfId="2" applyFont="1" applyBorder="1" applyAlignment="1" applyProtection="1">
      <alignment horizontal="left" vertical="center" wrapText="1"/>
      <protection locked="0"/>
    </xf>
    <xf numFmtId="0" fontId="6" fillId="0" borderId="47" xfId="2" applyFont="1" applyBorder="1" applyAlignment="1" applyProtection="1">
      <alignment horizontal="left" vertical="center" wrapText="1"/>
      <protection locked="0"/>
    </xf>
    <xf numFmtId="0" fontId="6" fillId="0" borderId="28" xfId="2" applyFont="1" applyBorder="1" applyAlignment="1" applyProtection="1">
      <alignment horizontal="left" vertical="center" wrapText="1"/>
      <protection locked="0"/>
    </xf>
    <xf numFmtId="0" fontId="6" fillId="0" borderId="138" xfId="2" applyFont="1" applyBorder="1" applyAlignment="1" applyProtection="1">
      <alignment horizontal="left" vertical="center" wrapText="1"/>
      <protection locked="0"/>
    </xf>
    <xf numFmtId="187" fontId="65" fillId="0" borderId="95" xfId="2" applyNumberFormat="1" applyFont="1" applyFill="1" applyBorder="1" applyAlignment="1" applyProtection="1">
      <alignment horizontal="right" vertical="center" shrinkToFit="1"/>
      <protection locked="0"/>
    </xf>
    <xf numFmtId="187" fontId="65" fillId="15" borderId="95" xfId="2" applyNumberFormat="1" applyFont="1" applyFill="1" applyBorder="1" applyAlignment="1" applyProtection="1">
      <alignment horizontal="right" vertical="center" shrinkToFit="1"/>
      <protection hidden="1"/>
    </xf>
    <xf numFmtId="0" fontId="66" fillId="0" borderId="93" xfId="2" applyFont="1" applyFill="1" applyBorder="1" applyAlignment="1" applyProtection="1">
      <alignment horizontal="left" vertical="center" shrinkToFit="1"/>
      <protection locked="0"/>
    </xf>
    <xf numFmtId="0" fontId="66" fillId="0" borderId="94" xfId="2" applyFont="1" applyFill="1" applyBorder="1" applyAlignment="1" applyProtection="1">
      <alignment horizontal="left" vertical="center" shrinkToFit="1"/>
      <protection locked="0"/>
    </xf>
    <xf numFmtId="0" fontId="66" fillId="0" borderId="96" xfId="2" applyFont="1" applyFill="1" applyBorder="1" applyAlignment="1" applyProtection="1">
      <alignment horizontal="left" vertical="center" shrinkToFit="1"/>
      <protection locked="0"/>
    </xf>
    <xf numFmtId="187" fontId="65" fillId="0" borderId="95" xfId="2" applyNumberFormat="1" applyFont="1" applyFill="1" applyBorder="1" applyAlignment="1" applyProtection="1">
      <alignment horizontal="center" vertical="center"/>
      <protection locked="0"/>
    </xf>
    <xf numFmtId="187" fontId="65" fillId="0" borderId="95" xfId="2" applyNumberFormat="1" applyFont="1" applyFill="1" applyBorder="1" applyAlignment="1" applyProtection="1">
      <alignment horizontal="right" vertical="center"/>
      <protection locked="0"/>
    </xf>
    <xf numFmtId="187" fontId="65" fillId="0" borderId="93" xfId="2" applyNumberFormat="1" applyFont="1" applyFill="1" applyBorder="1" applyAlignment="1" applyProtection="1">
      <alignment horizontal="right" vertical="center" shrinkToFit="1"/>
      <protection locked="0"/>
    </xf>
    <xf numFmtId="187" fontId="65" fillId="0" borderId="94" xfId="2" applyNumberFormat="1" applyFont="1" applyFill="1" applyBorder="1" applyAlignment="1" applyProtection="1">
      <alignment horizontal="right" vertical="center" shrinkToFit="1"/>
      <protection locked="0"/>
    </xf>
    <xf numFmtId="187" fontId="65" fillId="0" borderId="96" xfId="2" applyNumberFormat="1" applyFont="1" applyFill="1" applyBorder="1" applyAlignment="1" applyProtection="1">
      <alignment horizontal="right" vertical="center" shrinkToFit="1"/>
      <protection locked="0"/>
    </xf>
    <xf numFmtId="187" fontId="65" fillId="0" borderId="93" xfId="2" applyNumberFormat="1" applyFont="1" applyFill="1" applyBorder="1" applyAlignment="1" applyProtection="1">
      <alignment horizontal="right" vertical="center" shrinkToFit="1"/>
      <protection hidden="1"/>
    </xf>
    <xf numFmtId="187" fontId="65" fillId="0" borderId="94" xfId="2" applyNumberFormat="1" applyFont="1" applyFill="1" applyBorder="1" applyAlignment="1" applyProtection="1">
      <alignment horizontal="right" vertical="center" shrinkToFit="1"/>
      <protection hidden="1"/>
    </xf>
    <xf numFmtId="187" fontId="65" fillId="0" borderId="96" xfId="2" applyNumberFormat="1" applyFont="1" applyFill="1" applyBorder="1" applyAlignment="1" applyProtection="1">
      <alignment horizontal="right" vertical="center" shrinkToFit="1"/>
      <protection hidden="1"/>
    </xf>
    <xf numFmtId="0" fontId="66" fillId="0" borderId="34" xfId="2" applyFont="1" applyBorder="1" applyAlignment="1" applyProtection="1">
      <alignment horizontal="center" vertical="center" shrinkToFit="1"/>
      <protection hidden="1"/>
    </xf>
    <xf numFmtId="0" fontId="66" fillId="0" borderId="64" xfId="2" applyFont="1" applyBorder="1" applyAlignment="1" applyProtection="1">
      <alignment horizontal="center" vertical="center" shrinkToFit="1"/>
      <protection hidden="1"/>
    </xf>
    <xf numFmtId="0" fontId="66" fillId="0" borderId="56" xfId="2" applyFont="1" applyBorder="1" applyAlignment="1" applyProtection="1">
      <alignment horizontal="center" vertical="center" shrinkToFit="1"/>
      <protection hidden="1"/>
    </xf>
    <xf numFmtId="0" fontId="66" fillId="0" borderId="55" xfId="2" applyFont="1" applyBorder="1" applyAlignment="1" applyProtection="1">
      <alignment horizontal="center" vertical="center" shrinkToFit="1"/>
      <protection hidden="1"/>
    </xf>
    <xf numFmtId="0" fontId="66" fillId="0" borderId="5" xfId="2" applyFont="1" applyBorder="1" applyAlignment="1" applyProtection="1">
      <alignment horizontal="center" vertical="center" shrinkToFit="1"/>
      <protection hidden="1"/>
    </xf>
    <xf numFmtId="0" fontId="66" fillId="0" borderId="54" xfId="2" applyFont="1" applyBorder="1" applyAlignment="1" applyProtection="1">
      <alignment horizontal="center" vertical="center" shrinkToFit="1"/>
      <protection hidden="1"/>
    </xf>
    <xf numFmtId="187" fontId="24" fillId="0" borderId="34" xfId="2" applyNumberFormat="1" applyFont="1" applyBorder="1" applyAlignment="1" applyProtection="1">
      <alignment horizontal="center" vertical="center" shrinkToFit="1"/>
      <protection hidden="1"/>
    </xf>
    <xf numFmtId="187" fontId="24" fillId="0" borderId="64" xfId="2" applyNumberFormat="1" applyFont="1" applyBorder="1" applyAlignment="1" applyProtection="1">
      <alignment horizontal="center" vertical="center" shrinkToFit="1"/>
      <protection hidden="1"/>
    </xf>
    <xf numFmtId="187" fontId="24" fillId="0" borderId="56" xfId="2" applyNumberFormat="1" applyFont="1" applyBorder="1" applyAlignment="1" applyProtection="1">
      <alignment horizontal="center" vertical="center" shrinkToFit="1"/>
      <protection hidden="1"/>
    </xf>
    <xf numFmtId="187" fontId="24" fillId="0" borderId="55" xfId="2" applyNumberFormat="1" applyFont="1" applyBorder="1" applyAlignment="1" applyProtection="1">
      <alignment horizontal="center" vertical="center" shrinkToFit="1"/>
      <protection hidden="1"/>
    </xf>
    <xf numFmtId="187" fontId="24" fillId="0" borderId="5" xfId="2" applyNumberFormat="1" applyFont="1" applyBorder="1" applyAlignment="1" applyProtection="1">
      <alignment horizontal="center" vertical="center" shrinkToFit="1"/>
      <protection hidden="1"/>
    </xf>
    <xf numFmtId="187" fontId="24" fillId="0" borderId="54" xfId="2" applyNumberFormat="1" applyFont="1" applyBorder="1" applyAlignment="1" applyProtection="1">
      <alignment horizontal="center" vertical="center" shrinkToFit="1"/>
      <protection hidden="1"/>
    </xf>
    <xf numFmtId="187" fontId="24" fillId="0" borderId="1" xfId="2" applyNumberFormat="1" applyFont="1" applyBorder="1" applyAlignment="1" applyProtection="1">
      <alignment horizontal="center" vertical="center" shrinkToFit="1"/>
      <protection hidden="1"/>
    </xf>
    <xf numFmtId="187" fontId="24" fillId="0" borderId="2" xfId="2" applyNumberFormat="1" applyFont="1" applyBorder="1" applyAlignment="1" applyProtection="1">
      <alignment horizontal="center" vertical="center" shrinkToFit="1"/>
      <protection hidden="1"/>
    </xf>
    <xf numFmtId="187" fontId="65" fillId="0" borderId="102" xfId="2" applyNumberFormat="1" applyFont="1" applyFill="1" applyBorder="1" applyAlignment="1" applyProtection="1">
      <alignment horizontal="right" vertical="center" shrinkToFit="1"/>
      <protection hidden="1"/>
    </xf>
    <xf numFmtId="0" fontId="66" fillId="0" borderId="34" xfId="2" applyFont="1" applyBorder="1" applyAlignment="1" applyProtection="1">
      <alignment horizontal="center" vertical="center" textRotation="255" wrapText="1"/>
      <protection hidden="1"/>
    </xf>
    <xf numFmtId="0" fontId="66" fillId="0" borderId="70" xfId="2" applyFont="1" applyBorder="1" applyAlignment="1" applyProtection="1">
      <alignment horizontal="center" vertical="center" textRotation="255" wrapText="1"/>
      <protection hidden="1"/>
    </xf>
    <xf numFmtId="0" fontId="66" fillId="0" borderId="55" xfId="2" applyFont="1" applyBorder="1" applyAlignment="1" applyProtection="1">
      <alignment horizontal="center" vertical="center" textRotation="255" wrapText="1"/>
      <protection hidden="1"/>
    </xf>
    <xf numFmtId="0" fontId="66" fillId="0" borderId="100" xfId="2" applyFont="1" applyFill="1" applyBorder="1" applyAlignment="1" applyProtection="1">
      <alignment horizontal="left" vertical="center" shrinkToFit="1"/>
      <protection locked="0"/>
    </xf>
    <xf numFmtId="0" fontId="66" fillId="0" borderId="101" xfId="2" applyFont="1" applyFill="1" applyBorder="1" applyAlignment="1" applyProtection="1">
      <alignment horizontal="left" vertical="center" shrinkToFit="1"/>
      <protection locked="0"/>
    </xf>
    <xf numFmtId="187" fontId="65" fillId="0" borderId="102" xfId="2" applyNumberFormat="1" applyFont="1" applyFill="1" applyBorder="1" applyAlignment="1" applyProtection="1">
      <alignment horizontal="right" vertical="center" shrinkToFit="1"/>
      <protection locked="0"/>
    </xf>
    <xf numFmtId="0" fontId="66" fillId="0" borderId="3" xfId="2" applyFont="1" applyBorder="1" applyAlignment="1" applyProtection="1">
      <alignment horizontal="center" vertical="center"/>
      <protection hidden="1"/>
    </xf>
    <xf numFmtId="187" fontId="65" fillId="0" borderId="1" xfId="2" applyNumberFormat="1" applyFont="1" applyFill="1" applyBorder="1" applyAlignment="1" applyProtection="1">
      <alignment horizontal="center" vertical="center"/>
      <protection hidden="1"/>
    </xf>
    <xf numFmtId="187" fontId="65" fillId="0" borderId="1" xfId="2" applyNumberFormat="1" applyFont="1" applyFill="1" applyBorder="1" applyAlignment="1" applyProtection="1">
      <alignment horizontal="right" vertical="center" shrinkToFit="1"/>
      <protection hidden="1"/>
    </xf>
    <xf numFmtId="0" fontId="66" fillId="0" borderId="93" xfId="2" applyFont="1" applyFill="1" applyBorder="1" applyAlignment="1" applyProtection="1">
      <alignment horizontal="center" vertical="center" shrinkToFit="1"/>
      <protection hidden="1"/>
    </xf>
    <xf numFmtId="0" fontId="66" fillId="0" borderId="94" xfId="2" applyFont="1" applyFill="1" applyBorder="1" applyAlignment="1" applyProtection="1">
      <alignment horizontal="center" vertical="center" shrinkToFit="1"/>
      <protection hidden="1"/>
    </xf>
    <xf numFmtId="0" fontId="66" fillId="0" borderId="96" xfId="2" applyFont="1" applyFill="1" applyBorder="1" applyAlignment="1" applyProtection="1">
      <alignment horizontal="center" vertical="center" shrinkToFit="1"/>
      <protection hidden="1"/>
    </xf>
    <xf numFmtId="187" fontId="65" fillId="15" borderId="102" xfId="2" applyNumberFormat="1" applyFont="1" applyFill="1" applyBorder="1" applyAlignment="1" applyProtection="1">
      <alignment horizontal="right" vertical="center" shrinkToFit="1"/>
      <protection hidden="1"/>
    </xf>
    <xf numFmtId="187" fontId="65" fillId="0" borderId="102" xfId="2" applyNumberFormat="1" applyFont="1" applyFill="1" applyBorder="1" applyAlignment="1" applyProtection="1">
      <alignment horizontal="center" vertical="center"/>
      <protection locked="0"/>
    </xf>
    <xf numFmtId="187" fontId="65" fillId="0" borderId="102" xfId="2" applyNumberFormat="1" applyFont="1" applyFill="1" applyBorder="1" applyAlignment="1" applyProtection="1">
      <alignment horizontal="right" vertical="center"/>
      <protection locked="0"/>
    </xf>
    <xf numFmtId="0" fontId="66" fillId="0" borderId="1" xfId="2" applyFont="1" applyBorder="1" applyAlignment="1" applyProtection="1">
      <alignment horizontal="left" vertical="center" indent="1"/>
      <protection hidden="1"/>
    </xf>
    <xf numFmtId="187" fontId="24" fillId="0" borderId="1" xfId="2" applyNumberFormat="1" applyFont="1" applyFill="1" applyBorder="1" applyAlignment="1" applyProtection="1">
      <alignment horizontal="left" vertical="center" indent="1"/>
      <protection hidden="1"/>
    </xf>
    <xf numFmtId="0" fontId="66" fillId="0" borderId="97" xfId="2" applyFont="1" applyFill="1" applyBorder="1" applyAlignment="1" applyProtection="1">
      <alignment horizontal="center" vertical="center" shrinkToFit="1"/>
      <protection hidden="1"/>
    </xf>
    <xf numFmtId="0" fontId="66" fillId="0" borderId="98" xfId="2" applyFont="1" applyFill="1" applyBorder="1" applyAlignment="1" applyProtection="1">
      <alignment horizontal="center" vertical="center" shrinkToFit="1"/>
      <protection hidden="1"/>
    </xf>
    <xf numFmtId="187" fontId="65" fillId="0" borderId="90" xfId="2" applyNumberFormat="1" applyFont="1" applyFill="1" applyBorder="1" applyAlignment="1" applyProtection="1">
      <alignment horizontal="center" vertical="center"/>
      <protection locked="0"/>
    </xf>
    <xf numFmtId="187" fontId="65" fillId="0" borderId="90" xfId="2" applyNumberFormat="1" applyFont="1" applyFill="1" applyBorder="1" applyAlignment="1" applyProtection="1">
      <alignment horizontal="right" vertical="center"/>
      <protection locked="0"/>
    </xf>
    <xf numFmtId="187" fontId="65" fillId="0" borderId="90" xfId="2" applyNumberFormat="1" applyFont="1" applyFill="1" applyBorder="1" applyAlignment="1" applyProtection="1">
      <alignment horizontal="right" vertical="center" shrinkToFit="1"/>
      <protection locked="0"/>
    </xf>
    <xf numFmtId="187" fontId="65" fillId="15" borderId="90" xfId="2" applyNumberFormat="1" applyFont="1" applyFill="1" applyBorder="1" applyAlignment="1" applyProtection="1">
      <alignment horizontal="right" vertical="center" shrinkToFit="1"/>
      <protection hidden="1"/>
    </xf>
    <xf numFmtId="187" fontId="56" fillId="0" borderId="64" xfId="2" applyNumberFormat="1" applyFont="1" applyBorder="1" applyAlignment="1" applyProtection="1">
      <alignment horizontal="center" vertical="center"/>
      <protection hidden="1"/>
    </xf>
    <xf numFmtId="187" fontId="66" fillId="0" borderId="66" xfId="2" applyNumberFormat="1" applyFont="1" applyBorder="1" applyAlignment="1" applyProtection="1">
      <alignment horizontal="center" vertical="center"/>
      <protection hidden="1"/>
    </xf>
    <xf numFmtId="187" fontId="65" fillId="0" borderId="2" xfId="2" applyNumberFormat="1" applyFont="1" applyBorder="1" applyAlignment="1" applyProtection="1">
      <alignment horizontal="center" vertical="center"/>
      <protection hidden="1"/>
    </xf>
    <xf numFmtId="187" fontId="65" fillId="0" borderId="3" xfId="2" applyNumberFormat="1" applyFont="1" applyBorder="1" applyAlignment="1" applyProtection="1">
      <alignment horizontal="center" vertical="center"/>
      <protection hidden="1"/>
    </xf>
    <xf numFmtId="187" fontId="65" fillId="0" borderId="4" xfId="2" applyNumberFormat="1" applyFont="1" applyBorder="1" applyAlignment="1" applyProtection="1">
      <alignment horizontal="center" vertical="center"/>
      <protection hidden="1"/>
    </xf>
    <xf numFmtId="0" fontId="67" fillId="0" borderId="6" xfId="2" applyFont="1" applyBorder="1" applyAlignment="1" applyProtection="1">
      <alignment horizontal="center" vertical="center"/>
      <protection hidden="1"/>
    </xf>
    <xf numFmtId="12" fontId="65" fillId="0" borderId="2" xfId="2" applyNumberFormat="1" applyFont="1" applyBorder="1" applyAlignment="1" applyProtection="1">
      <alignment horizontal="center" vertical="center"/>
      <protection hidden="1"/>
    </xf>
    <xf numFmtId="12" fontId="65" fillId="0" borderId="3" xfId="2" applyNumberFormat="1" applyFont="1" applyBorder="1" applyAlignment="1" applyProtection="1">
      <alignment horizontal="center" vertical="center"/>
      <protection hidden="1"/>
    </xf>
    <xf numFmtId="12" fontId="65" fillId="0" borderId="4" xfId="2" applyNumberFormat="1" applyFont="1" applyBorder="1" applyAlignment="1" applyProtection="1">
      <alignment horizontal="center" vertical="center"/>
      <protection hidden="1"/>
    </xf>
    <xf numFmtId="187" fontId="87" fillId="0" borderId="50" xfId="2" applyNumberFormat="1" applyFont="1" applyBorder="1" applyAlignment="1" applyProtection="1">
      <alignment horizontal="center" vertical="center"/>
      <protection hidden="1"/>
    </xf>
    <xf numFmtId="187" fontId="87" fillId="0" borderId="51" xfId="2" applyNumberFormat="1" applyFont="1" applyBorder="1" applyAlignment="1" applyProtection="1">
      <alignment horizontal="center" vertical="center"/>
      <protection hidden="1"/>
    </xf>
    <xf numFmtId="187" fontId="87" fillId="0" borderId="59" xfId="2" applyNumberFormat="1" applyFont="1" applyBorder="1" applyAlignment="1" applyProtection="1">
      <alignment horizontal="center" vertical="center"/>
      <protection hidden="1"/>
    </xf>
    <xf numFmtId="0" fontId="10" fillId="0" borderId="0" xfId="0" applyFont="1" applyAlignment="1">
      <alignment horizontal="center" vertical="center"/>
    </xf>
    <xf numFmtId="0" fontId="10" fillId="0" borderId="0" xfId="0" applyFont="1" applyAlignment="1">
      <alignment horizontal="left" vertical="center" shrinkToFit="1"/>
    </xf>
    <xf numFmtId="0" fontId="92" fillId="0" borderId="0" xfId="0" applyFont="1" applyAlignment="1">
      <alignment horizontal="left" vertical="center" shrinkToFit="1"/>
    </xf>
    <xf numFmtId="0" fontId="39" fillId="10" borderId="10" xfId="0" applyFont="1" applyFill="1" applyBorder="1" applyAlignment="1">
      <alignment horizontal="center" vertical="center"/>
    </xf>
    <xf numFmtId="0" fontId="39" fillId="10" borderId="45" xfId="0" applyFont="1" applyFill="1" applyBorder="1" applyAlignment="1">
      <alignment horizontal="center" vertical="center"/>
    </xf>
    <xf numFmtId="0" fontId="39" fillId="10" borderId="26" xfId="0" applyFont="1" applyFill="1" applyBorder="1" applyAlignment="1">
      <alignment horizontal="center" vertical="center"/>
    </xf>
    <xf numFmtId="0" fontId="43" fillId="10" borderId="0" xfId="0" applyFont="1" applyFill="1" applyBorder="1" applyAlignment="1">
      <alignment horizontal="left" vertical="center"/>
    </xf>
    <xf numFmtId="0" fontId="43" fillId="10" borderId="0" xfId="0" applyFont="1" applyFill="1" applyAlignment="1">
      <alignment horizontal="left" vertical="center"/>
    </xf>
    <xf numFmtId="0" fontId="42" fillId="10" borderId="78" xfId="0" applyFont="1" applyFill="1" applyBorder="1" applyAlignment="1">
      <alignment horizontal="center" vertical="center"/>
    </xf>
    <xf numFmtId="0" fontId="90" fillId="10" borderId="0" xfId="0" applyFont="1" applyFill="1" applyAlignment="1">
      <alignment horizontal="left" vertical="center"/>
    </xf>
    <xf numFmtId="0" fontId="71" fillId="10" borderId="170" xfId="0" applyFont="1" applyFill="1" applyBorder="1" applyAlignment="1">
      <alignment horizontal="center" vertical="center"/>
    </xf>
    <xf numFmtId="0" fontId="42" fillId="10" borderId="0" xfId="0" applyFont="1" applyFill="1" applyAlignment="1">
      <alignment horizontal="center" vertical="center"/>
    </xf>
    <xf numFmtId="0" fontId="56" fillId="10" borderId="80" xfId="0" applyFont="1" applyFill="1" applyBorder="1" applyAlignment="1">
      <alignment horizontal="left" vertical="center" shrinkToFit="1"/>
    </xf>
    <xf numFmtId="0" fontId="56" fillId="10" borderId="81" xfId="0" applyFont="1" applyFill="1" applyBorder="1" applyAlignment="1">
      <alignment horizontal="left" vertical="center" shrinkToFit="1"/>
    </xf>
    <xf numFmtId="0" fontId="56" fillId="10" borderId="79" xfId="0" applyFont="1" applyFill="1" applyBorder="1" applyAlignment="1">
      <alignment horizontal="left" vertical="center" shrinkToFit="1"/>
    </xf>
    <xf numFmtId="0" fontId="39" fillId="10" borderId="80" xfId="0" applyFont="1" applyFill="1" applyBorder="1" applyAlignment="1">
      <alignment horizontal="left" vertical="center" shrinkToFit="1"/>
    </xf>
    <xf numFmtId="0" fontId="39" fillId="10" borderId="81" xfId="0" applyFont="1" applyFill="1" applyBorder="1" applyAlignment="1">
      <alignment horizontal="left" vertical="center" shrinkToFit="1"/>
    </xf>
    <xf numFmtId="0" fontId="39" fillId="10" borderId="79" xfId="0" applyFont="1" applyFill="1" applyBorder="1" applyAlignment="1">
      <alignment horizontal="left" vertical="center" shrinkToFit="1"/>
    </xf>
    <xf numFmtId="0" fontId="39" fillId="10" borderId="18" xfId="0" applyFont="1" applyFill="1" applyBorder="1" applyAlignment="1">
      <alignment horizontal="center" vertical="center"/>
    </xf>
    <xf numFmtId="0" fontId="39" fillId="10" borderId="14" xfId="0" applyFont="1" applyFill="1" applyBorder="1" applyAlignment="1">
      <alignment horizontal="center" vertical="center"/>
    </xf>
    <xf numFmtId="0" fontId="39" fillId="10" borderId="32" xfId="0" applyFont="1" applyFill="1" applyBorder="1" applyAlignment="1">
      <alignment horizontal="center" vertical="center"/>
    </xf>
    <xf numFmtId="0" fontId="39" fillId="10" borderId="21" xfId="0" applyFont="1" applyFill="1" applyBorder="1" applyAlignment="1">
      <alignment horizontal="center" vertical="center"/>
    </xf>
    <xf numFmtId="0" fontId="56" fillId="10" borderId="0" xfId="0" applyFont="1" applyFill="1" applyBorder="1" applyAlignment="1">
      <alignment horizontal="center" vertical="center"/>
    </xf>
    <xf numFmtId="0" fontId="130" fillId="10" borderId="0" xfId="0" applyFont="1" applyFill="1" applyAlignment="1">
      <alignment horizontal="left" vertical="center"/>
    </xf>
    <xf numFmtId="0" fontId="137" fillId="10" borderId="0" xfId="0" applyFont="1" applyFill="1" applyAlignment="1">
      <alignment horizontal="left" vertical="center" wrapText="1"/>
    </xf>
    <xf numFmtId="0" fontId="137" fillId="10" borderId="0" xfId="0" applyFont="1" applyFill="1" applyAlignment="1">
      <alignment horizontal="left" vertical="center"/>
    </xf>
    <xf numFmtId="0" fontId="134" fillId="14" borderId="80" xfId="0" applyFont="1" applyFill="1" applyBorder="1" applyAlignment="1">
      <alignment horizontal="center" vertical="center"/>
    </xf>
    <xf numFmtId="0" fontId="121" fillId="14" borderId="79" xfId="0" applyFont="1" applyFill="1" applyBorder="1" applyAlignment="1">
      <alignment horizontal="center" vertical="center"/>
    </xf>
    <xf numFmtId="0" fontId="41" fillId="10" borderId="0" xfId="0" applyFont="1" applyFill="1" applyAlignment="1">
      <alignment horizontal="center" vertical="center"/>
    </xf>
    <xf numFmtId="0" fontId="40" fillId="10" borderId="0" xfId="0" applyFont="1" applyFill="1" applyAlignment="1">
      <alignment horizontal="center" vertical="center"/>
    </xf>
    <xf numFmtId="0" fontId="42" fillId="10" borderId="5" xfId="0" applyFont="1" applyFill="1" applyBorder="1" applyAlignment="1">
      <alignment horizontal="center" vertical="center"/>
    </xf>
    <xf numFmtId="0" fontId="42" fillId="10" borderId="6" xfId="0" applyFont="1" applyFill="1" applyBorder="1" applyAlignment="1">
      <alignment horizontal="center" vertical="center"/>
    </xf>
    <xf numFmtId="0" fontId="48" fillId="10" borderId="0" xfId="0" applyFont="1" applyFill="1" applyBorder="1" applyAlignment="1">
      <alignment horizontal="left" vertical="center"/>
    </xf>
    <xf numFmtId="0" fontId="47" fillId="10" borderId="0" xfId="0" applyFont="1" applyFill="1" applyBorder="1" applyAlignment="1">
      <alignment horizontal="left" vertical="center"/>
    </xf>
    <xf numFmtId="0" fontId="53" fillId="0" borderId="73" xfId="0" applyFont="1" applyFill="1" applyBorder="1" applyAlignment="1" applyProtection="1">
      <alignment horizontal="left" vertical="center" shrinkToFit="1"/>
      <protection locked="0"/>
    </xf>
    <xf numFmtId="0" fontId="42" fillId="0" borderId="74" xfId="0" applyFont="1" applyFill="1" applyBorder="1" applyAlignment="1" applyProtection="1">
      <alignment horizontal="left" vertical="center" shrinkToFit="1"/>
      <protection locked="0"/>
    </xf>
    <xf numFmtId="0" fontId="42" fillId="0" borderId="75" xfId="0" applyFont="1" applyFill="1" applyBorder="1" applyAlignment="1" applyProtection="1">
      <alignment horizontal="left" vertical="center" shrinkToFit="1"/>
      <protection locked="0"/>
    </xf>
    <xf numFmtId="0" fontId="42" fillId="0" borderId="73" xfId="0" applyFont="1" applyFill="1" applyBorder="1" applyAlignment="1" applyProtection="1">
      <alignment horizontal="left" vertical="center" shrinkToFit="1"/>
      <protection locked="0"/>
    </xf>
    <xf numFmtId="0" fontId="44" fillId="11" borderId="72" xfId="0" applyFont="1" applyFill="1" applyBorder="1" applyAlignment="1" applyProtection="1">
      <alignment horizontal="left" vertical="center" indent="1"/>
      <protection hidden="1"/>
    </xf>
    <xf numFmtId="0" fontId="44" fillId="11" borderId="165" xfId="0" applyFont="1" applyFill="1" applyBorder="1" applyAlignment="1" applyProtection="1">
      <alignment horizontal="left" vertical="center" indent="1"/>
      <protection hidden="1"/>
    </xf>
    <xf numFmtId="0" fontId="44" fillId="11" borderId="164" xfId="0" applyFont="1" applyFill="1" applyBorder="1" applyAlignment="1" applyProtection="1">
      <alignment horizontal="left" vertical="center" indent="1"/>
      <protection hidden="1"/>
    </xf>
    <xf numFmtId="58" fontId="34" fillId="0" borderId="50" xfId="0" applyNumberFormat="1" applyFont="1" applyFill="1" applyBorder="1" applyAlignment="1" applyProtection="1">
      <alignment horizontal="center" vertical="center"/>
      <protection locked="0"/>
    </xf>
    <xf numFmtId="0" fontId="44" fillId="0" borderId="51" xfId="0" applyFont="1" applyFill="1" applyBorder="1" applyAlignment="1" applyProtection="1">
      <alignment horizontal="center" vertical="center"/>
      <protection locked="0"/>
    </xf>
    <xf numFmtId="0" fontId="44" fillId="0" borderId="59" xfId="0" applyFont="1" applyFill="1" applyBorder="1" applyAlignment="1" applyProtection="1">
      <alignment horizontal="center" vertical="center"/>
      <protection locked="0"/>
    </xf>
    <xf numFmtId="0" fontId="44" fillId="0" borderId="88" xfId="0" applyFont="1" applyFill="1" applyBorder="1" applyAlignment="1" applyProtection="1">
      <alignment horizontal="center" vertical="center"/>
      <protection locked="0"/>
    </xf>
    <xf numFmtId="0" fontId="44" fillId="0" borderId="89" xfId="0" applyFont="1" applyFill="1" applyBorder="1" applyAlignment="1" applyProtection="1">
      <alignment horizontal="center" vertical="center"/>
      <protection locked="0"/>
    </xf>
    <xf numFmtId="38" fontId="42" fillId="0" borderId="50" xfId="1" applyFont="1" applyFill="1" applyBorder="1" applyAlignment="1" applyProtection="1">
      <alignment horizontal="right" vertical="center"/>
      <protection locked="0"/>
    </xf>
    <xf numFmtId="38" fontId="42" fillId="0" borderId="59" xfId="1" applyFont="1" applyFill="1" applyBorder="1" applyAlignment="1" applyProtection="1">
      <alignment horizontal="right" vertical="center"/>
      <protection locked="0"/>
    </xf>
    <xf numFmtId="0" fontId="42" fillId="10" borderId="0" xfId="0" applyFont="1" applyFill="1" applyAlignment="1">
      <alignment horizontal="distributed" vertical="center"/>
    </xf>
    <xf numFmtId="0" fontId="42" fillId="10" borderId="0" xfId="0" applyFont="1" applyFill="1" applyBorder="1" applyAlignment="1">
      <alignment horizontal="distributed" vertical="center"/>
    </xf>
    <xf numFmtId="0" fontId="44" fillId="0" borderId="50" xfId="0" applyFont="1" applyFill="1" applyBorder="1" applyAlignment="1" applyProtection="1">
      <alignment horizontal="center" vertical="center"/>
      <protection locked="0"/>
    </xf>
    <xf numFmtId="0" fontId="44" fillId="0" borderId="72" xfId="0" applyFont="1" applyFill="1" applyBorder="1" applyAlignment="1" applyProtection="1">
      <alignment horizontal="left" vertical="center" indent="1"/>
      <protection locked="0"/>
    </xf>
    <xf numFmtId="0" fontId="90" fillId="10" borderId="169" xfId="0" applyFont="1" applyFill="1" applyBorder="1" applyAlignment="1">
      <alignment horizontal="left" vertical="center"/>
    </xf>
    <xf numFmtId="0" fontId="131" fillId="10" borderId="0" xfId="0" applyFont="1" applyFill="1" applyAlignment="1">
      <alignment horizontal="left" vertical="center"/>
    </xf>
    <xf numFmtId="0" fontId="42" fillId="10" borderId="0" xfId="0" applyFont="1" applyFill="1" applyAlignment="1">
      <alignment horizontal="left" vertical="center"/>
    </xf>
    <xf numFmtId="0" fontId="56" fillId="10" borderId="0" xfId="0" applyFont="1" applyFill="1" applyAlignment="1">
      <alignment horizontal="left" vertical="center" indent="2"/>
    </xf>
    <xf numFmtId="0" fontId="137" fillId="10" borderId="0" xfId="0" applyFont="1" applyFill="1" applyAlignment="1">
      <alignment horizontal="left" wrapText="1"/>
    </xf>
    <xf numFmtId="0" fontId="136" fillId="10" borderId="80" xfId="0" applyFont="1" applyFill="1" applyBorder="1" applyAlignment="1">
      <alignment horizontal="center" vertical="center"/>
    </xf>
    <xf numFmtId="0" fontId="136" fillId="10" borderId="81" xfId="0" applyFont="1" applyFill="1" applyBorder="1" applyAlignment="1">
      <alignment horizontal="center" vertical="center"/>
    </xf>
    <xf numFmtId="0" fontId="136" fillId="10" borderId="175" xfId="0" applyFont="1" applyFill="1" applyBorder="1" applyAlignment="1">
      <alignment horizontal="center" vertical="center"/>
    </xf>
    <xf numFmtId="0" fontId="135" fillId="10" borderId="82" xfId="0" applyFont="1" applyFill="1" applyBorder="1" applyAlignment="1">
      <alignment horizontal="center" vertical="center"/>
    </xf>
    <xf numFmtId="0" fontId="135" fillId="10" borderId="176" xfId="0" applyFont="1" applyFill="1" applyBorder="1" applyAlignment="1">
      <alignment horizontal="center" vertical="center"/>
    </xf>
    <xf numFmtId="0" fontId="39" fillId="10" borderId="80" xfId="0" applyFont="1" applyFill="1" applyBorder="1" applyAlignment="1">
      <alignment horizontal="right" vertical="center"/>
    </xf>
    <xf numFmtId="0" fontId="39" fillId="10" borderId="81" xfId="0" applyFont="1" applyFill="1" applyBorder="1" applyAlignment="1">
      <alignment horizontal="right" vertical="center"/>
    </xf>
    <xf numFmtId="0" fontId="39" fillId="10" borderId="79" xfId="0" applyFont="1" applyFill="1" applyBorder="1" applyAlignment="1">
      <alignment horizontal="right" vertical="center"/>
    </xf>
    <xf numFmtId="0" fontId="39" fillId="10" borderId="80" xfId="0" applyFont="1" applyFill="1" applyBorder="1" applyAlignment="1">
      <alignment horizontal="left" vertical="center"/>
    </xf>
    <xf numFmtId="0" fontId="39" fillId="10" borderId="81" xfId="0" applyFont="1" applyFill="1" applyBorder="1" applyAlignment="1">
      <alignment horizontal="left" vertical="center"/>
    </xf>
    <xf numFmtId="0" fontId="39" fillId="10" borderId="79" xfId="0" applyFont="1" applyFill="1" applyBorder="1" applyAlignment="1">
      <alignment horizontal="left" vertical="center"/>
    </xf>
    <xf numFmtId="0" fontId="138" fillId="10" borderId="0" xfId="0" applyFont="1" applyFill="1" applyAlignment="1">
      <alignment horizontal="left" vertical="top" wrapText="1"/>
    </xf>
    <xf numFmtId="0" fontId="101" fillId="10" borderId="0" xfId="0" applyFont="1" applyFill="1" applyAlignment="1">
      <alignment horizontal="left" vertical="top" wrapText="1"/>
    </xf>
    <xf numFmtId="0" fontId="42" fillId="7" borderId="36" xfId="0" applyFont="1" applyFill="1" applyBorder="1" applyAlignment="1">
      <alignment horizontal="left" vertical="center"/>
    </xf>
    <xf numFmtId="0" fontId="42" fillId="7" borderId="37" xfId="0" applyFont="1" applyFill="1" applyBorder="1" applyAlignment="1">
      <alignment horizontal="left" vertical="center"/>
    </xf>
    <xf numFmtId="0" fontId="42" fillId="7" borderId="39" xfId="0" applyFont="1" applyFill="1" applyBorder="1" applyAlignment="1">
      <alignment horizontal="left" vertical="center"/>
    </xf>
    <xf numFmtId="38" fontId="42" fillId="7" borderId="51" xfId="0" applyNumberFormat="1" applyFont="1" applyFill="1" applyBorder="1" applyAlignment="1">
      <alignment horizontal="center" vertical="center"/>
    </xf>
    <xf numFmtId="0" fontId="42" fillId="7" borderId="51" xfId="0" applyFont="1" applyFill="1" applyBorder="1" applyAlignment="1">
      <alignment horizontal="center" vertical="center"/>
    </xf>
    <xf numFmtId="38" fontId="42" fillId="7" borderId="50" xfId="0" applyNumberFormat="1" applyFont="1" applyFill="1" applyBorder="1" applyAlignment="1">
      <alignment horizontal="center" vertical="center"/>
    </xf>
    <xf numFmtId="0" fontId="42" fillId="7" borderId="59" xfId="0" applyFont="1" applyFill="1" applyBorder="1" applyAlignment="1">
      <alignment horizontal="center" vertical="center"/>
    </xf>
    <xf numFmtId="0" fontId="68" fillId="9" borderId="51" xfId="0" applyFont="1" applyFill="1" applyBorder="1" applyAlignment="1">
      <alignment horizontal="center" vertical="center"/>
    </xf>
    <xf numFmtId="0" fontId="68" fillId="9" borderId="59" xfId="0" applyFont="1" applyFill="1" applyBorder="1" applyAlignment="1">
      <alignment horizontal="center" vertical="center"/>
    </xf>
    <xf numFmtId="0" fontId="42" fillId="9" borderId="137" xfId="0" applyFont="1" applyFill="1" applyBorder="1" applyAlignment="1">
      <alignment horizontal="center" vertical="center" textRotation="255"/>
    </xf>
    <xf numFmtId="0" fontId="42" fillId="9" borderId="132" xfId="0" applyFont="1" applyFill="1" applyBorder="1" applyAlignment="1">
      <alignment horizontal="center" vertical="center" textRotation="255"/>
    </xf>
    <xf numFmtId="0" fontId="42" fillId="9" borderId="129" xfId="0" applyFont="1" applyFill="1" applyBorder="1" applyAlignment="1">
      <alignment horizontal="center" vertical="center" textRotation="255"/>
    </xf>
    <xf numFmtId="0" fontId="30" fillId="9" borderId="51" xfId="0" applyFont="1" applyFill="1" applyBorder="1" applyAlignment="1">
      <alignment horizontal="center" vertical="center"/>
    </xf>
    <xf numFmtId="0" fontId="30" fillId="9" borderId="59" xfId="0" applyFont="1" applyFill="1" applyBorder="1" applyAlignment="1">
      <alignment horizontal="center" vertical="center"/>
    </xf>
    <xf numFmtId="0" fontId="30" fillId="7" borderId="32" xfId="0" applyFont="1" applyFill="1" applyBorder="1" applyAlignment="1">
      <alignment horizontal="left" vertical="center"/>
    </xf>
    <xf numFmtId="0" fontId="42" fillId="7" borderId="33" xfId="0" applyFont="1" applyFill="1" applyBorder="1" applyAlignment="1">
      <alignment horizontal="left" vertical="center"/>
    </xf>
    <xf numFmtId="0" fontId="42" fillId="7" borderId="35" xfId="0" applyFont="1" applyFill="1" applyBorder="1" applyAlignment="1">
      <alignment horizontal="left" vertical="center"/>
    </xf>
    <xf numFmtId="38" fontId="42" fillId="7" borderId="32" xfId="0" applyNumberFormat="1" applyFont="1" applyFill="1" applyBorder="1" applyAlignment="1">
      <alignment horizontal="right" vertical="center"/>
    </xf>
    <xf numFmtId="0" fontId="42" fillId="7" borderId="34" xfId="0" applyFont="1" applyFill="1" applyBorder="1" applyAlignment="1">
      <alignment horizontal="right" vertical="center"/>
    </xf>
    <xf numFmtId="38" fontId="42" fillId="7" borderId="22" xfId="0" applyNumberFormat="1" applyFont="1" applyFill="1" applyBorder="1" applyAlignment="1">
      <alignment horizontal="right" vertical="center"/>
    </xf>
    <xf numFmtId="0" fontId="42" fillId="7" borderId="22" xfId="0" applyFont="1" applyFill="1" applyBorder="1" applyAlignment="1">
      <alignment horizontal="right" vertical="center"/>
    </xf>
    <xf numFmtId="38" fontId="42" fillId="7" borderId="23" xfId="0" applyNumberFormat="1" applyFont="1" applyFill="1" applyBorder="1" applyAlignment="1">
      <alignment horizontal="right" vertical="center"/>
    </xf>
    <xf numFmtId="38" fontId="42" fillId="7" borderId="61" xfId="0" applyNumberFormat="1" applyFont="1" applyFill="1" applyBorder="1" applyAlignment="1">
      <alignment horizontal="right" vertical="center"/>
    </xf>
    <xf numFmtId="38" fontId="42" fillId="7" borderId="64" xfId="0" applyNumberFormat="1" applyFont="1" applyFill="1" applyBorder="1" applyAlignment="1">
      <alignment horizontal="right" vertical="center"/>
    </xf>
    <xf numFmtId="0" fontId="42" fillId="7" borderId="35" xfId="0" applyFont="1" applyFill="1" applyBorder="1" applyAlignment="1">
      <alignment horizontal="right" vertical="center"/>
    </xf>
    <xf numFmtId="0" fontId="42" fillId="7" borderId="10" xfId="0" applyFont="1" applyFill="1" applyBorder="1" applyAlignment="1">
      <alignment horizontal="left" vertical="center"/>
    </xf>
    <xf numFmtId="0" fontId="42" fillId="7" borderId="11" xfId="0" applyFont="1" applyFill="1" applyBorder="1" applyAlignment="1">
      <alignment horizontal="left" vertical="center"/>
    </xf>
    <xf numFmtId="0" fontId="42" fillId="7" borderId="12" xfId="0" applyFont="1" applyFill="1" applyBorder="1" applyAlignment="1">
      <alignment horizontal="left" vertical="center"/>
    </xf>
    <xf numFmtId="38" fontId="42" fillId="7" borderId="10" xfId="0" applyNumberFormat="1" applyFont="1" applyFill="1" applyBorder="1" applyAlignment="1">
      <alignment horizontal="center" vertical="center"/>
    </xf>
    <xf numFmtId="0" fontId="42" fillId="7" borderId="11" xfId="0" applyFont="1" applyFill="1" applyBorder="1" applyAlignment="1">
      <alignment horizontal="center" vertical="center"/>
    </xf>
    <xf numFmtId="38" fontId="42" fillId="7" borderId="11" xfId="0" applyNumberFormat="1" applyFont="1" applyFill="1" applyBorder="1" applyAlignment="1">
      <alignment horizontal="center" vertical="center"/>
    </xf>
    <xf numFmtId="0" fontId="42" fillId="7" borderId="12" xfId="0" applyFont="1" applyFill="1" applyBorder="1" applyAlignment="1">
      <alignment horizontal="center" vertical="center"/>
    </xf>
    <xf numFmtId="38" fontId="42" fillId="7" borderId="66" xfId="0" applyNumberFormat="1" applyFont="1" applyFill="1" applyBorder="1" applyAlignment="1">
      <alignment horizontal="center" vertical="center"/>
    </xf>
    <xf numFmtId="0" fontId="42" fillId="7" borderId="7" xfId="0" applyFont="1" applyFill="1" applyBorder="1" applyAlignment="1">
      <alignment horizontal="center" vertical="center"/>
    </xf>
    <xf numFmtId="0" fontId="42" fillId="7" borderId="8" xfId="0" applyFont="1" applyFill="1" applyBorder="1" applyAlignment="1">
      <alignment horizontal="center" vertical="center"/>
    </xf>
    <xf numFmtId="0" fontId="42" fillId="7" borderId="9" xfId="0" applyFont="1" applyFill="1" applyBorder="1" applyAlignment="1">
      <alignment horizontal="center" vertical="center"/>
    </xf>
    <xf numFmtId="0" fontId="42" fillId="7" borderId="21" xfId="0" applyFont="1" applyFill="1" applyBorder="1" applyAlignment="1">
      <alignment horizontal="center" vertical="center"/>
    </xf>
    <xf numFmtId="0" fontId="42" fillId="7" borderId="22" xfId="0" applyFont="1" applyFill="1" applyBorder="1" applyAlignment="1">
      <alignment horizontal="center" vertical="center"/>
    </xf>
    <xf numFmtId="0" fontId="42" fillId="7" borderId="23" xfId="0" applyFont="1" applyFill="1" applyBorder="1" applyAlignment="1">
      <alignment horizontal="center" vertical="center"/>
    </xf>
    <xf numFmtId="0" fontId="42" fillId="7" borderId="10" xfId="0" applyFont="1" applyFill="1" applyBorder="1" applyAlignment="1">
      <alignment horizontal="center" vertical="center"/>
    </xf>
    <xf numFmtId="0" fontId="42" fillId="7" borderId="63" xfId="0" applyFont="1" applyFill="1" applyBorder="1" applyAlignment="1">
      <alignment horizontal="center" vertical="center"/>
    </xf>
    <xf numFmtId="0" fontId="42" fillId="7" borderId="13" xfId="0" applyFont="1" applyFill="1" applyBorder="1" applyAlignment="1">
      <alignment horizontal="center" vertical="center"/>
    </xf>
    <xf numFmtId="0" fontId="42" fillId="7" borderId="65" xfId="0" applyFont="1" applyFill="1" applyBorder="1" applyAlignment="1">
      <alignment horizontal="center" vertical="center"/>
    </xf>
    <xf numFmtId="0" fontId="42" fillId="7" borderId="24" xfId="0" applyFont="1" applyFill="1" applyBorder="1" applyAlignment="1">
      <alignment horizontal="center" vertical="center"/>
    </xf>
    <xf numFmtId="0" fontId="42" fillId="7" borderId="60" xfId="0" applyFont="1" applyFill="1" applyBorder="1" applyAlignment="1">
      <alignment horizontal="center" vertical="center"/>
    </xf>
    <xf numFmtId="0" fontId="42" fillId="7" borderId="46" xfId="0" applyFont="1" applyFill="1" applyBorder="1" applyAlignment="1">
      <alignment horizontal="center" vertical="center"/>
    </xf>
    <xf numFmtId="0" fontId="42" fillId="7" borderId="61" xfId="0" applyFont="1" applyFill="1" applyBorder="1" applyAlignment="1">
      <alignment horizontal="center" vertical="center"/>
    </xf>
    <xf numFmtId="0" fontId="71" fillId="7" borderId="18" xfId="0" applyFont="1" applyFill="1" applyBorder="1" applyAlignment="1">
      <alignment horizontal="left" vertical="center"/>
    </xf>
    <xf numFmtId="0" fontId="42" fillId="7" borderId="19" xfId="0" applyFont="1" applyFill="1" applyBorder="1" applyAlignment="1">
      <alignment horizontal="left" vertical="center"/>
    </xf>
    <xf numFmtId="0" fontId="42" fillId="7" borderId="20" xfId="0" applyFont="1" applyFill="1" applyBorder="1" applyAlignment="1">
      <alignment horizontal="left" vertical="center"/>
    </xf>
    <xf numFmtId="38" fontId="42" fillId="7" borderId="18" xfId="0" applyNumberFormat="1" applyFont="1" applyFill="1" applyBorder="1" applyAlignment="1">
      <alignment horizontal="right" vertical="center"/>
    </xf>
    <xf numFmtId="0" fontId="42" fillId="7" borderId="55" xfId="0" applyFont="1" applyFill="1" applyBorder="1" applyAlignment="1">
      <alignment horizontal="right" vertical="center"/>
    </xf>
    <xf numFmtId="38" fontId="42" fillId="7" borderId="8" xfId="0" applyNumberFormat="1" applyFont="1" applyFill="1" applyBorder="1" applyAlignment="1">
      <alignment horizontal="right" vertical="center"/>
    </xf>
    <xf numFmtId="0" fontId="42" fillId="7" borderId="8" xfId="0" applyFont="1" applyFill="1" applyBorder="1" applyAlignment="1">
      <alignment horizontal="right" vertical="center"/>
    </xf>
    <xf numFmtId="38" fontId="42" fillId="7" borderId="9" xfId="0" applyNumberFormat="1" applyFont="1" applyFill="1" applyBorder="1" applyAlignment="1">
      <alignment horizontal="right" vertical="center"/>
    </xf>
    <xf numFmtId="38" fontId="42" fillId="7" borderId="76" xfId="0" applyNumberFormat="1" applyFont="1" applyFill="1" applyBorder="1" applyAlignment="1">
      <alignment horizontal="right" vertical="center"/>
    </xf>
    <xf numFmtId="38" fontId="42" fillId="7" borderId="5" xfId="0" applyNumberFormat="1" applyFont="1" applyFill="1" applyBorder="1" applyAlignment="1">
      <alignment horizontal="right" vertical="center"/>
    </xf>
    <xf numFmtId="0" fontId="42" fillId="7" borderId="20" xfId="0" applyFont="1" applyFill="1" applyBorder="1" applyAlignment="1">
      <alignment horizontal="right" vertical="center"/>
    </xf>
    <xf numFmtId="0" fontId="68" fillId="9" borderId="50" xfId="0" applyFont="1" applyFill="1" applyBorder="1" applyAlignment="1">
      <alignment horizontal="center" vertical="center"/>
    </xf>
    <xf numFmtId="0" fontId="42" fillId="9" borderId="41" xfId="0" applyFont="1" applyFill="1" applyBorder="1" applyAlignment="1">
      <alignment horizontal="center" vertical="center" textRotation="255"/>
    </xf>
    <xf numFmtId="0" fontId="42" fillId="9" borderId="43" xfId="0" applyFont="1" applyFill="1" applyBorder="1" applyAlignment="1">
      <alignment horizontal="center" vertical="center" textRotation="255"/>
    </xf>
    <xf numFmtId="0" fontId="42" fillId="9" borderId="48" xfId="0" applyFont="1" applyFill="1" applyBorder="1" applyAlignment="1">
      <alignment horizontal="center" vertical="center" textRotation="255"/>
    </xf>
    <xf numFmtId="0" fontId="50" fillId="4" borderId="50" xfId="0" applyFont="1" applyFill="1" applyBorder="1" applyAlignment="1">
      <alignment horizontal="center" vertical="center"/>
    </xf>
    <xf numFmtId="0" fontId="50" fillId="4" borderId="51" xfId="0" applyFont="1" applyFill="1" applyBorder="1" applyAlignment="1">
      <alignment horizontal="center" vertical="center"/>
    </xf>
    <xf numFmtId="0" fontId="50" fillId="4" borderId="59" xfId="0" applyFont="1" applyFill="1" applyBorder="1" applyAlignment="1">
      <alignment horizontal="center" vertical="center"/>
    </xf>
    <xf numFmtId="0" fontId="42" fillId="16" borderId="36" xfId="0" applyFont="1" applyFill="1" applyBorder="1" applyAlignment="1">
      <alignment horizontal="left" vertical="center"/>
    </xf>
    <xf numFmtId="0" fontId="42" fillId="16" borderId="37" xfId="0" applyFont="1" applyFill="1" applyBorder="1" applyAlignment="1">
      <alignment horizontal="left" vertical="center"/>
    </xf>
    <xf numFmtId="0" fontId="42" fillId="16" borderId="39" xfId="0" applyFont="1" applyFill="1" applyBorder="1" applyAlignment="1">
      <alignment horizontal="left" vertical="center"/>
    </xf>
    <xf numFmtId="38" fontId="42" fillId="16" borderId="51" xfId="0" applyNumberFormat="1" applyFont="1" applyFill="1" applyBorder="1" applyAlignment="1">
      <alignment horizontal="center" vertical="center"/>
    </xf>
    <xf numFmtId="0" fontId="42" fillId="16" borderId="51" xfId="0" applyFont="1" applyFill="1" applyBorder="1" applyAlignment="1">
      <alignment horizontal="center" vertical="center"/>
    </xf>
    <xf numFmtId="38" fontId="42" fillId="16" borderId="50" xfId="0" applyNumberFormat="1" applyFont="1" applyFill="1" applyBorder="1" applyAlignment="1">
      <alignment horizontal="center" vertical="center"/>
    </xf>
    <xf numFmtId="0" fontId="42" fillId="16" borderId="59" xfId="0" applyFont="1" applyFill="1" applyBorder="1" applyAlignment="1">
      <alignment horizontal="center" vertical="center"/>
    </xf>
    <xf numFmtId="0" fontId="42" fillId="5" borderId="7" xfId="0" applyFont="1" applyFill="1" applyBorder="1" applyAlignment="1">
      <alignment horizontal="center" vertical="center"/>
    </xf>
    <xf numFmtId="0" fontId="42" fillId="5" borderId="8" xfId="0" applyFont="1" applyFill="1" applyBorder="1" applyAlignment="1">
      <alignment horizontal="center" vertical="center"/>
    </xf>
    <xf numFmtId="0" fontId="42" fillId="5" borderId="9" xfId="0" applyFont="1" applyFill="1" applyBorder="1" applyAlignment="1">
      <alignment horizontal="center" vertical="center"/>
    </xf>
    <xf numFmtId="0" fontId="42" fillId="5" borderId="21" xfId="0" applyFont="1" applyFill="1" applyBorder="1" applyAlignment="1">
      <alignment horizontal="center" vertical="center"/>
    </xf>
    <xf numFmtId="0" fontId="42" fillId="5" borderId="22" xfId="0" applyFont="1" applyFill="1" applyBorder="1" applyAlignment="1">
      <alignment horizontal="center" vertical="center"/>
    </xf>
    <xf numFmtId="0" fontId="42" fillId="5" borderId="23" xfId="0" applyFont="1" applyFill="1" applyBorder="1" applyAlignment="1">
      <alignment horizontal="center" vertical="center"/>
    </xf>
    <xf numFmtId="0" fontId="42" fillId="5" borderId="10" xfId="0" applyFont="1" applyFill="1" applyBorder="1" applyAlignment="1">
      <alignment horizontal="center" vertical="center"/>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63" xfId="0" applyFont="1" applyFill="1" applyBorder="1" applyAlignment="1">
      <alignment horizontal="center" vertical="center"/>
    </xf>
    <xf numFmtId="0" fontId="42" fillId="5" borderId="13" xfId="0" applyFont="1" applyFill="1" applyBorder="1" applyAlignment="1">
      <alignment horizontal="center" vertical="center"/>
    </xf>
    <xf numFmtId="0" fontId="42" fillId="5" borderId="65" xfId="0" applyFont="1" applyFill="1" applyBorder="1" applyAlignment="1">
      <alignment horizontal="center" vertical="center"/>
    </xf>
    <xf numFmtId="0" fontId="42" fillId="5" borderId="24" xfId="0" applyFont="1" applyFill="1" applyBorder="1" applyAlignment="1">
      <alignment horizontal="center" vertical="center"/>
    </xf>
    <xf numFmtId="0" fontId="42" fillId="5" borderId="60" xfId="0" applyFont="1" applyFill="1" applyBorder="1" applyAlignment="1">
      <alignment horizontal="center" vertical="center"/>
    </xf>
    <xf numFmtId="0" fontId="42" fillId="5" borderId="46" xfId="0" applyFont="1" applyFill="1" applyBorder="1" applyAlignment="1">
      <alignment horizontal="center" vertical="center"/>
    </xf>
    <xf numFmtId="0" fontId="42" fillId="5" borderId="61" xfId="0" applyFont="1" applyFill="1" applyBorder="1" applyAlignment="1">
      <alignment horizontal="center" vertical="center"/>
    </xf>
    <xf numFmtId="0" fontId="71" fillId="16" borderId="18" xfId="0" applyFont="1" applyFill="1" applyBorder="1" applyAlignment="1">
      <alignment horizontal="left" vertical="center"/>
    </xf>
    <xf numFmtId="0" fontId="42" fillId="16" borderId="19" xfId="0" applyFont="1" applyFill="1" applyBorder="1" applyAlignment="1">
      <alignment horizontal="left" vertical="center"/>
    </xf>
    <xf numFmtId="0" fontId="42" fillId="16" borderId="20" xfId="0" applyFont="1" applyFill="1" applyBorder="1" applyAlignment="1">
      <alignment horizontal="left" vertical="center"/>
    </xf>
    <xf numFmtId="38" fontId="42" fillId="16" borderId="18" xfId="0" applyNumberFormat="1" applyFont="1" applyFill="1" applyBorder="1" applyAlignment="1">
      <alignment horizontal="right" vertical="center"/>
    </xf>
    <xf numFmtId="0" fontId="42" fillId="16" borderId="55" xfId="0" applyFont="1" applyFill="1" applyBorder="1" applyAlignment="1">
      <alignment horizontal="right" vertical="center"/>
    </xf>
    <xf numFmtId="38" fontId="42" fillId="16" borderId="8" xfId="0" applyNumberFormat="1" applyFont="1" applyFill="1" applyBorder="1" applyAlignment="1">
      <alignment horizontal="right" vertical="center"/>
    </xf>
    <xf numFmtId="0" fontId="42" fillId="16" borderId="8" xfId="0" applyFont="1" applyFill="1" applyBorder="1" applyAlignment="1">
      <alignment horizontal="right" vertical="center"/>
    </xf>
    <xf numFmtId="0" fontId="68" fillId="0" borderId="2" xfId="0" applyFont="1" applyBorder="1" applyAlignment="1">
      <alignment horizontal="left" vertical="center"/>
    </xf>
    <xf numFmtId="0" fontId="68" fillId="0" borderId="3" xfId="0" applyFont="1" applyBorder="1" applyAlignment="1">
      <alignment horizontal="left" vertical="center"/>
    </xf>
    <xf numFmtId="0" fontId="68" fillId="0" borderId="4" xfId="0" applyFont="1" applyBorder="1" applyAlignment="1">
      <alignment horizontal="left" vertical="center"/>
    </xf>
    <xf numFmtId="0" fontId="42" fillId="5" borderId="10" xfId="0" applyFont="1" applyFill="1" applyBorder="1" applyAlignment="1">
      <alignment horizontal="left" vertical="center"/>
    </xf>
    <xf numFmtId="0" fontId="42" fillId="5" borderId="11" xfId="0" applyFont="1" applyFill="1" applyBorder="1" applyAlignment="1">
      <alignment horizontal="left" vertical="center"/>
    </xf>
    <xf numFmtId="0" fontId="42" fillId="5" borderId="12" xfId="0" applyFont="1" applyFill="1" applyBorder="1" applyAlignment="1">
      <alignment horizontal="left" vertical="center"/>
    </xf>
    <xf numFmtId="38" fontId="42" fillId="5" borderId="10" xfId="0" applyNumberFormat="1" applyFont="1" applyFill="1" applyBorder="1" applyAlignment="1">
      <alignment horizontal="center" vertical="center"/>
    </xf>
    <xf numFmtId="38" fontId="42" fillId="5" borderId="11" xfId="0" applyNumberFormat="1" applyFont="1" applyFill="1" applyBorder="1" applyAlignment="1">
      <alignment horizontal="center" vertical="center"/>
    </xf>
    <xf numFmtId="38" fontId="42" fillId="5" borderId="66" xfId="0" applyNumberFormat="1" applyFont="1" applyFill="1" applyBorder="1" applyAlignment="1">
      <alignment horizontal="center" vertical="center"/>
    </xf>
    <xf numFmtId="0" fontId="42" fillId="5" borderId="36" xfId="0" applyFont="1" applyFill="1" applyBorder="1" applyAlignment="1">
      <alignment horizontal="left" vertical="center"/>
    </xf>
    <xf numFmtId="0" fontId="42" fillId="5" borderId="37" xfId="0" applyFont="1" applyFill="1" applyBorder="1" applyAlignment="1">
      <alignment horizontal="left" vertical="center"/>
    </xf>
    <xf numFmtId="0" fontId="42" fillId="5" borderId="39" xfId="0" applyFont="1" applyFill="1" applyBorder="1" applyAlignment="1">
      <alignment horizontal="left" vertical="center"/>
    </xf>
    <xf numFmtId="38" fontId="42" fillId="5" borderId="51" xfId="0" applyNumberFormat="1" applyFont="1" applyFill="1" applyBorder="1" applyAlignment="1">
      <alignment horizontal="center" vertical="center"/>
    </xf>
    <xf numFmtId="0" fontId="42" fillId="5" borderId="51" xfId="0" applyFont="1" applyFill="1" applyBorder="1" applyAlignment="1">
      <alignment horizontal="center" vertical="center"/>
    </xf>
    <xf numFmtId="38" fontId="42" fillId="5" borderId="50" xfId="0" applyNumberFormat="1" applyFont="1" applyFill="1" applyBorder="1" applyAlignment="1">
      <alignment horizontal="center" vertical="center"/>
    </xf>
    <xf numFmtId="0" fontId="42" fillId="5" borderId="59" xfId="0" applyFont="1" applyFill="1" applyBorder="1" applyAlignment="1">
      <alignment horizontal="center" vertical="center"/>
    </xf>
    <xf numFmtId="0" fontId="71" fillId="5" borderId="18" xfId="0" applyFont="1" applyFill="1" applyBorder="1" applyAlignment="1">
      <alignment horizontal="left" vertical="center"/>
    </xf>
    <xf numFmtId="0" fontId="42" fillId="5" borderId="19" xfId="0" applyFont="1" applyFill="1" applyBorder="1" applyAlignment="1">
      <alignment horizontal="left" vertical="center"/>
    </xf>
    <xf numFmtId="0" fontId="42" fillId="5" borderId="20" xfId="0" applyFont="1" applyFill="1" applyBorder="1" applyAlignment="1">
      <alignment horizontal="left" vertical="center"/>
    </xf>
    <xf numFmtId="38" fontId="42" fillId="5" borderId="18" xfId="0" applyNumberFormat="1" applyFont="1" applyFill="1" applyBorder="1" applyAlignment="1">
      <alignment horizontal="right" vertical="center"/>
    </xf>
    <xf numFmtId="0" fontId="42" fillId="5" borderId="55" xfId="0" applyFont="1" applyFill="1" applyBorder="1" applyAlignment="1">
      <alignment horizontal="right" vertical="center"/>
    </xf>
    <xf numFmtId="38" fontId="42" fillId="5" borderId="8" xfId="0" applyNumberFormat="1" applyFont="1" applyFill="1" applyBorder="1" applyAlignment="1">
      <alignment horizontal="right" vertical="center"/>
    </xf>
    <xf numFmtId="0" fontId="42" fillId="5" borderId="8" xfId="0" applyFont="1" applyFill="1" applyBorder="1" applyAlignment="1">
      <alignment horizontal="right" vertical="center"/>
    </xf>
    <xf numFmtId="38" fontId="42" fillId="5" borderId="9" xfId="0" applyNumberFormat="1" applyFont="1" applyFill="1" applyBorder="1" applyAlignment="1">
      <alignment horizontal="right" vertical="center"/>
    </xf>
    <xf numFmtId="38" fontId="42" fillId="5" borderId="76" xfId="0" applyNumberFormat="1" applyFont="1" applyFill="1" applyBorder="1" applyAlignment="1">
      <alignment horizontal="right" vertical="center"/>
    </xf>
    <xf numFmtId="38" fontId="42" fillId="5" borderId="5" xfId="0" applyNumberFormat="1" applyFont="1" applyFill="1" applyBorder="1" applyAlignment="1">
      <alignment horizontal="right" vertical="center"/>
    </xf>
    <xf numFmtId="0" fontId="42" fillId="5" borderId="20" xfId="0" applyFont="1" applyFill="1" applyBorder="1" applyAlignment="1">
      <alignment horizontal="right" vertical="center"/>
    </xf>
    <xf numFmtId="0" fontId="30" fillId="5" borderId="32" xfId="0" applyFont="1" applyFill="1" applyBorder="1" applyAlignment="1">
      <alignment horizontal="left" vertical="center"/>
    </xf>
    <xf numFmtId="0" fontId="42" fillId="5" borderId="33" xfId="0" applyFont="1" applyFill="1" applyBorder="1" applyAlignment="1">
      <alignment horizontal="left" vertical="center"/>
    </xf>
    <xf numFmtId="0" fontId="42" fillId="5" borderId="35" xfId="0" applyFont="1" applyFill="1" applyBorder="1" applyAlignment="1">
      <alignment horizontal="left" vertical="center"/>
    </xf>
    <xf numFmtId="38" fontId="42" fillId="5" borderId="32" xfId="0" applyNumberFormat="1" applyFont="1" applyFill="1" applyBorder="1" applyAlignment="1">
      <alignment horizontal="right" vertical="center"/>
    </xf>
    <xf numFmtId="0" fontId="42" fillId="5" borderId="34" xfId="0" applyFont="1" applyFill="1" applyBorder="1" applyAlignment="1">
      <alignment horizontal="right" vertical="center"/>
    </xf>
    <xf numFmtId="38" fontId="42" fillId="5" borderId="22" xfId="0" applyNumberFormat="1" applyFont="1" applyFill="1" applyBorder="1" applyAlignment="1">
      <alignment horizontal="right" vertical="center"/>
    </xf>
    <xf numFmtId="0" fontId="42" fillId="5" borderId="22" xfId="0" applyFont="1" applyFill="1" applyBorder="1" applyAlignment="1">
      <alignment horizontal="right" vertical="center"/>
    </xf>
    <xf numFmtId="38" fontId="42" fillId="5" borderId="23" xfId="0" applyNumberFormat="1" applyFont="1" applyFill="1" applyBorder="1" applyAlignment="1">
      <alignment horizontal="right" vertical="center"/>
    </xf>
    <xf numFmtId="38" fontId="42" fillId="5" borderId="61" xfId="0" applyNumberFormat="1" applyFont="1" applyFill="1" applyBorder="1" applyAlignment="1">
      <alignment horizontal="right" vertical="center"/>
    </xf>
    <xf numFmtId="38" fontId="42" fillId="5" borderId="64" xfId="0" applyNumberFormat="1" applyFont="1" applyFill="1" applyBorder="1" applyAlignment="1">
      <alignment horizontal="right" vertical="center"/>
    </xf>
    <xf numFmtId="0" fontId="42" fillId="5" borderId="35" xfId="0" applyFont="1" applyFill="1" applyBorder="1" applyAlignment="1">
      <alignment horizontal="right" vertical="center"/>
    </xf>
    <xf numFmtId="0" fontId="42" fillId="16" borderId="10" xfId="0" applyFont="1" applyFill="1" applyBorder="1" applyAlignment="1">
      <alignment horizontal="left" vertical="center"/>
    </xf>
    <xf numFmtId="0" fontId="42" fillId="16" borderId="11" xfId="0" applyFont="1" applyFill="1" applyBorder="1" applyAlignment="1">
      <alignment horizontal="left" vertical="center"/>
    </xf>
    <xf numFmtId="0" fontId="42" fillId="16" borderId="12" xfId="0" applyFont="1" applyFill="1" applyBorder="1" applyAlignment="1">
      <alignment horizontal="left" vertical="center"/>
    </xf>
    <xf numFmtId="38" fontId="42" fillId="16" borderId="10" xfId="0" applyNumberFormat="1" applyFont="1" applyFill="1" applyBorder="1" applyAlignment="1">
      <alignment horizontal="center" vertical="center"/>
    </xf>
    <xf numFmtId="0" fontId="42" fillId="16" borderId="11" xfId="0" applyFont="1" applyFill="1" applyBorder="1" applyAlignment="1">
      <alignment horizontal="center" vertical="center"/>
    </xf>
    <xf numFmtId="38" fontId="42" fillId="16" borderId="11" xfId="0" applyNumberFormat="1" applyFont="1" applyFill="1" applyBorder="1" applyAlignment="1">
      <alignment horizontal="center" vertical="center"/>
    </xf>
    <xf numFmtId="0" fontId="42" fillId="16" borderId="12" xfId="0" applyFont="1" applyFill="1" applyBorder="1" applyAlignment="1">
      <alignment horizontal="center" vertical="center"/>
    </xf>
    <xf numFmtId="38" fontId="42" fillId="16" borderId="66" xfId="0" applyNumberFormat="1" applyFont="1" applyFill="1" applyBorder="1" applyAlignment="1">
      <alignment horizontal="center" vertical="center"/>
    </xf>
    <xf numFmtId="38" fontId="42" fillId="16" borderId="9" xfId="0" applyNumberFormat="1" applyFont="1" applyFill="1" applyBorder="1" applyAlignment="1">
      <alignment horizontal="right" vertical="center"/>
    </xf>
    <xf numFmtId="38" fontId="42" fillId="16" borderId="76" xfId="0" applyNumberFormat="1" applyFont="1" applyFill="1" applyBorder="1" applyAlignment="1">
      <alignment horizontal="right" vertical="center"/>
    </xf>
    <xf numFmtId="38" fontId="42" fillId="16" borderId="5" xfId="0" applyNumberFormat="1" applyFont="1" applyFill="1" applyBorder="1" applyAlignment="1">
      <alignment horizontal="right" vertical="center"/>
    </xf>
    <xf numFmtId="0" fontId="42" fillId="16" borderId="20" xfId="0" applyFont="1" applyFill="1" applyBorder="1" applyAlignment="1">
      <alignment horizontal="right" vertical="center"/>
    </xf>
    <xf numFmtId="0" fontId="30" fillId="16" borderId="32" xfId="0" applyFont="1" applyFill="1" applyBorder="1" applyAlignment="1">
      <alignment horizontal="left" vertical="center"/>
    </xf>
    <xf numFmtId="0" fontId="42" fillId="16" borderId="33" xfId="0" applyFont="1" applyFill="1" applyBorder="1" applyAlignment="1">
      <alignment horizontal="left" vertical="center"/>
    </xf>
    <xf numFmtId="0" fontId="42" fillId="16" borderId="35" xfId="0" applyFont="1" applyFill="1" applyBorder="1" applyAlignment="1">
      <alignment horizontal="left" vertical="center"/>
    </xf>
    <xf numFmtId="38" fontId="42" fillId="16" borderId="32" xfId="0" applyNumberFormat="1" applyFont="1" applyFill="1" applyBorder="1" applyAlignment="1">
      <alignment horizontal="right" vertical="center"/>
    </xf>
    <xf numFmtId="0" fontId="42" fillId="16" borderId="34" xfId="0" applyFont="1" applyFill="1" applyBorder="1" applyAlignment="1">
      <alignment horizontal="right" vertical="center"/>
    </xf>
    <xf numFmtId="38" fontId="42" fillId="16" borderId="22" xfId="0" applyNumberFormat="1" applyFont="1" applyFill="1" applyBorder="1" applyAlignment="1">
      <alignment horizontal="right" vertical="center"/>
    </xf>
    <xf numFmtId="0" fontId="42" fillId="16" borderId="22" xfId="0" applyFont="1" applyFill="1" applyBorder="1" applyAlignment="1">
      <alignment horizontal="right" vertical="center"/>
    </xf>
    <xf numFmtId="38" fontId="42" fillId="16" borderId="23" xfId="0" applyNumberFormat="1" applyFont="1" applyFill="1" applyBorder="1" applyAlignment="1">
      <alignment horizontal="right" vertical="center"/>
    </xf>
    <xf numFmtId="38" fontId="42" fillId="16" borderId="61" xfId="0" applyNumberFormat="1" applyFont="1" applyFill="1" applyBorder="1" applyAlignment="1">
      <alignment horizontal="right" vertical="center"/>
    </xf>
    <xf numFmtId="38" fontId="42" fillId="16" borderId="64" xfId="0" applyNumberFormat="1" applyFont="1" applyFill="1" applyBorder="1" applyAlignment="1">
      <alignment horizontal="right" vertical="center"/>
    </xf>
    <xf numFmtId="0" fontId="42" fillId="16" borderId="35" xfId="0" applyFont="1" applyFill="1" applyBorder="1" applyAlignment="1">
      <alignment horizontal="right" vertical="center"/>
    </xf>
    <xf numFmtId="0" fontId="42" fillId="16" borderId="7" xfId="0" applyFont="1" applyFill="1" applyBorder="1" applyAlignment="1">
      <alignment horizontal="center" vertical="center"/>
    </xf>
    <xf numFmtId="0" fontId="42" fillId="16" borderId="8" xfId="0" applyFont="1" applyFill="1" applyBorder="1" applyAlignment="1">
      <alignment horizontal="center" vertical="center"/>
    </xf>
    <xf numFmtId="0" fontId="42" fillId="16" borderId="9" xfId="0" applyFont="1" applyFill="1" applyBorder="1" applyAlignment="1">
      <alignment horizontal="center" vertical="center"/>
    </xf>
    <xf numFmtId="0" fontId="42" fillId="16" borderId="21" xfId="0" applyFont="1" applyFill="1" applyBorder="1" applyAlignment="1">
      <alignment horizontal="center" vertical="center"/>
    </xf>
    <xf numFmtId="0" fontId="42" fillId="16" borderId="22" xfId="0" applyFont="1" applyFill="1" applyBorder="1" applyAlignment="1">
      <alignment horizontal="center" vertical="center"/>
    </xf>
    <xf numFmtId="0" fontId="42" fillId="16" borderId="23" xfId="0" applyFont="1" applyFill="1" applyBorder="1" applyAlignment="1">
      <alignment horizontal="center" vertical="center"/>
    </xf>
    <xf numFmtId="0" fontId="42" fillId="16" borderId="10" xfId="0" applyFont="1" applyFill="1" applyBorder="1" applyAlignment="1">
      <alignment horizontal="center" vertical="center"/>
    </xf>
    <xf numFmtId="0" fontId="42" fillId="16" borderId="63" xfId="0" applyFont="1" applyFill="1" applyBorder="1" applyAlignment="1">
      <alignment horizontal="center" vertical="center"/>
    </xf>
    <xf numFmtId="0" fontId="42" fillId="16" borderId="13" xfId="0" applyFont="1" applyFill="1" applyBorder="1" applyAlignment="1">
      <alignment horizontal="center" vertical="center"/>
    </xf>
    <xf numFmtId="0" fontId="42" fillId="16" borderId="65" xfId="0" applyFont="1" applyFill="1" applyBorder="1" applyAlignment="1">
      <alignment horizontal="center" vertical="center"/>
    </xf>
    <xf numFmtId="0" fontId="42" fillId="16" borderId="24" xfId="0" applyFont="1" applyFill="1" applyBorder="1" applyAlignment="1">
      <alignment horizontal="center" vertical="center"/>
    </xf>
    <xf numFmtId="0" fontId="42" fillId="16" borderId="60" xfId="0" applyFont="1" applyFill="1" applyBorder="1" applyAlignment="1">
      <alignment horizontal="center" vertical="center"/>
    </xf>
    <xf numFmtId="0" fontId="42" fillId="16" borderId="46" xfId="0" applyFont="1" applyFill="1" applyBorder="1" applyAlignment="1">
      <alignment horizontal="center" vertical="center"/>
    </xf>
    <xf numFmtId="0" fontId="42" fillId="16" borderId="61" xfId="0" applyFont="1" applyFill="1" applyBorder="1" applyAlignment="1">
      <alignment horizontal="center" vertical="center"/>
    </xf>
    <xf numFmtId="38" fontId="42" fillId="7" borderId="7" xfId="0" applyNumberFormat="1" applyFont="1" applyFill="1" applyBorder="1" applyAlignment="1">
      <alignment horizontal="right" vertical="center"/>
    </xf>
    <xf numFmtId="38" fontId="42" fillId="7" borderId="21" xfId="0" applyNumberFormat="1" applyFont="1" applyFill="1" applyBorder="1" applyAlignment="1">
      <alignment horizontal="right" vertical="center"/>
    </xf>
    <xf numFmtId="38" fontId="42" fillId="7" borderId="56" xfId="0" applyNumberFormat="1" applyFont="1" applyFill="1" applyBorder="1" applyAlignment="1">
      <alignment horizontal="right" vertical="center"/>
    </xf>
    <xf numFmtId="0" fontId="42" fillId="7" borderId="33" xfId="0" applyFont="1" applyFill="1" applyBorder="1" applyAlignment="1">
      <alignment horizontal="right" vertical="center"/>
    </xf>
    <xf numFmtId="38" fontId="42" fillId="7" borderId="54" xfId="0" applyNumberFormat="1" applyFont="1" applyFill="1" applyBorder="1" applyAlignment="1">
      <alignment horizontal="right" vertical="center"/>
    </xf>
    <xf numFmtId="0" fontId="42" fillId="7" borderId="19" xfId="0" applyFont="1" applyFill="1" applyBorder="1" applyAlignment="1">
      <alignment horizontal="right" vertical="center"/>
    </xf>
    <xf numFmtId="0" fontId="42" fillId="9" borderId="33" xfId="0" applyFont="1" applyFill="1" applyBorder="1" applyAlignment="1">
      <alignment horizontal="center" vertical="center" wrapText="1"/>
    </xf>
    <xf numFmtId="0" fontId="42" fillId="9" borderId="19" xfId="0" applyFont="1" applyFill="1" applyBorder="1" applyAlignment="1">
      <alignment horizontal="center" vertical="center"/>
    </xf>
    <xf numFmtId="0" fontId="42" fillId="9" borderId="34" xfId="0" applyFont="1" applyFill="1" applyBorder="1" applyAlignment="1">
      <alignment horizontal="center" vertical="center" wrapText="1"/>
    </xf>
    <xf numFmtId="0" fontId="42" fillId="9" borderId="55" xfId="0" applyFont="1" applyFill="1" applyBorder="1" applyAlignment="1">
      <alignment horizontal="center" vertical="center"/>
    </xf>
    <xf numFmtId="0" fontId="45" fillId="0" borderId="0" xfId="0" applyFont="1" applyAlignment="1">
      <alignment horizontal="left" vertical="center"/>
    </xf>
    <xf numFmtId="0" fontId="42" fillId="9" borderId="1" xfId="0" applyFont="1" applyFill="1" applyBorder="1" applyAlignment="1">
      <alignment horizontal="center" vertical="center" wrapText="1"/>
    </xf>
    <xf numFmtId="0" fontId="45" fillId="0" borderId="6" xfId="0" applyFont="1" applyBorder="1" applyAlignment="1">
      <alignment horizontal="center" vertical="center"/>
    </xf>
    <xf numFmtId="0" fontId="42" fillId="9" borderId="17" xfId="0" applyFont="1" applyFill="1" applyBorder="1" applyAlignment="1">
      <alignment horizontal="center" vertical="center"/>
    </xf>
    <xf numFmtId="0" fontId="42" fillId="9" borderId="7" xfId="0" applyFont="1" applyFill="1" applyBorder="1" applyAlignment="1">
      <alignment horizontal="center" vertical="center"/>
    </xf>
    <xf numFmtId="0" fontId="42" fillId="9" borderId="14" xfId="0" applyFont="1" applyFill="1" applyBorder="1" applyAlignment="1">
      <alignment horizontal="center" vertical="center"/>
    </xf>
    <xf numFmtId="0" fontId="42" fillId="9" borderId="21" xfId="0" applyFont="1" applyFill="1" applyBorder="1" applyAlignment="1">
      <alignment horizontal="center" vertical="center"/>
    </xf>
    <xf numFmtId="0" fontId="42" fillId="9" borderId="7" xfId="0" applyFont="1" applyFill="1" applyBorder="1" applyAlignment="1">
      <alignment horizontal="center" vertical="center" wrapText="1"/>
    </xf>
    <xf numFmtId="0" fontId="42" fillId="9" borderId="32" xfId="0" applyFont="1" applyFill="1" applyBorder="1" applyAlignment="1">
      <alignment horizontal="center" vertical="center"/>
    </xf>
    <xf numFmtId="0" fontId="42" fillId="9" borderId="8" xfId="0" applyFont="1" applyFill="1" applyBorder="1" applyAlignment="1">
      <alignment horizontal="center" vertical="center"/>
    </xf>
    <xf numFmtId="0" fontId="42" fillId="9" borderId="1" xfId="0" applyFont="1" applyFill="1" applyBorder="1" applyAlignment="1">
      <alignment horizontal="center" vertical="center"/>
    </xf>
    <xf numFmtId="0" fontId="42" fillId="9" borderId="22" xfId="0" applyFont="1" applyFill="1" applyBorder="1" applyAlignment="1">
      <alignment horizontal="center" vertical="center"/>
    </xf>
    <xf numFmtId="0" fontId="42" fillId="9" borderId="13" xfId="0" applyFont="1" applyFill="1" applyBorder="1" applyAlignment="1">
      <alignment horizontal="center" vertical="center"/>
    </xf>
    <xf numFmtId="0" fontId="42" fillId="9" borderId="40" xfId="0" applyFont="1" applyFill="1" applyBorder="1" applyAlignment="1">
      <alignment horizontal="center" vertical="center"/>
    </xf>
    <xf numFmtId="0" fontId="42" fillId="9" borderId="54" xfId="0" applyFont="1" applyFill="1" applyBorder="1" applyAlignment="1">
      <alignment horizontal="center" vertical="center" wrapText="1"/>
    </xf>
    <xf numFmtId="0" fontId="42" fillId="9" borderId="4" xfId="0" applyFont="1" applyFill="1" applyBorder="1" applyAlignment="1">
      <alignment horizontal="center" vertical="center"/>
    </xf>
    <xf numFmtId="0" fontId="42" fillId="9" borderId="46" xfId="0" applyFont="1" applyFill="1" applyBorder="1" applyAlignment="1">
      <alignment horizontal="center" vertical="center"/>
    </xf>
    <xf numFmtId="0" fontId="42" fillId="9" borderId="50" xfId="0" applyFont="1" applyFill="1" applyBorder="1" applyAlignment="1">
      <alignment horizontal="center" vertical="center"/>
    </xf>
    <xf numFmtId="0" fontId="42" fillId="9" borderId="51" xfId="0" applyFont="1" applyFill="1" applyBorder="1" applyAlignment="1">
      <alignment horizontal="center" vertical="center"/>
    </xf>
    <xf numFmtId="0" fontId="42" fillId="9" borderId="52" xfId="0" applyFont="1" applyFill="1" applyBorder="1" applyAlignment="1">
      <alignment horizontal="center" vertical="center"/>
    </xf>
    <xf numFmtId="0" fontId="42" fillId="9" borderId="9" xfId="0" applyFont="1" applyFill="1" applyBorder="1" applyAlignment="1">
      <alignment horizontal="center" vertical="center"/>
    </xf>
    <xf numFmtId="0" fontId="42" fillId="9" borderId="10" xfId="0" applyFont="1" applyFill="1" applyBorder="1" applyAlignment="1">
      <alignment horizontal="center" vertical="center"/>
    </xf>
    <xf numFmtId="0" fontId="42" fillId="9" borderId="11" xfId="0" applyFont="1" applyFill="1" applyBorder="1" applyAlignment="1">
      <alignment horizontal="center" vertical="center"/>
    </xf>
    <xf numFmtId="0" fontId="42" fillId="9" borderId="12" xfId="0" applyFont="1" applyFill="1" applyBorder="1" applyAlignment="1">
      <alignment horizontal="center" vertical="center"/>
    </xf>
    <xf numFmtId="0" fontId="42" fillId="9" borderId="63" xfId="0" applyFont="1" applyFill="1" applyBorder="1" applyAlignment="1">
      <alignment horizontal="center" vertical="center"/>
    </xf>
    <xf numFmtId="0" fontId="42" fillId="9" borderId="2" xfId="0" applyFont="1" applyFill="1" applyBorder="1" applyAlignment="1">
      <alignment horizontal="center" vertical="center"/>
    </xf>
    <xf numFmtId="0" fontId="42" fillId="9" borderId="15" xfId="0" applyFont="1" applyFill="1" applyBorder="1" applyAlignment="1">
      <alignment horizontal="center" vertical="center"/>
    </xf>
    <xf numFmtId="0" fontId="42" fillId="9" borderId="16" xfId="0" applyFont="1" applyFill="1" applyBorder="1" applyAlignment="1">
      <alignment horizontal="center" vertical="center"/>
    </xf>
    <xf numFmtId="0" fontId="42" fillId="9" borderId="33" xfId="0" applyFont="1" applyFill="1" applyBorder="1" applyAlignment="1">
      <alignment horizontal="center" vertical="center"/>
    </xf>
    <xf numFmtId="38" fontId="42" fillId="0" borderId="19" xfId="0" applyNumberFormat="1" applyFont="1" applyBorder="1" applyAlignment="1">
      <alignment horizontal="right" vertical="center"/>
    </xf>
    <xf numFmtId="0" fontId="42" fillId="0" borderId="19" xfId="0" applyFont="1" applyBorder="1" applyAlignment="1">
      <alignment horizontal="right" vertical="center"/>
    </xf>
    <xf numFmtId="0" fontId="42" fillId="0" borderId="20" xfId="0" applyFont="1" applyBorder="1" applyAlignment="1">
      <alignment horizontal="right" vertical="center"/>
    </xf>
    <xf numFmtId="38" fontId="42" fillId="0" borderId="18" xfId="0" applyNumberFormat="1" applyFont="1" applyBorder="1" applyAlignment="1">
      <alignment horizontal="right" vertical="center"/>
    </xf>
    <xf numFmtId="38" fontId="42" fillId="0" borderId="5" xfId="0" applyNumberFormat="1" applyFont="1" applyBorder="1" applyAlignment="1">
      <alignment horizontal="right" vertical="center"/>
    </xf>
    <xf numFmtId="0" fontId="45" fillId="0" borderId="0" xfId="0" applyFont="1" applyAlignment="1">
      <alignment horizontal="center" vertical="center"/>
    </xf>
    <xf numFmtId="0" fontId="42" fillId="0" borderId="60" xfId="0" applyFont="1" applyBorder="1" applyAlignment="1">
      <alignment horizontal="center" vertical="center"/>
    </xf>
    <xf numFmtId="0" fontId="42" fillId="0" borderId="46" xfId="0" applyFont="1" applyBorder="1" applyAlignment="1">
      <alignment horizontal="center" vertical="center"/>
    </xf>
    <xf numFmtId="0" fontId="42" fillId="0" borderId="23" xfId="0" applyFont="1" applyBorder="1" applyAlignment="1">
      <alignment horizontal="center" vertical="center"/>
    </xf>
    <xf numFmtId="0" fontId="42" fillId="0" borderId="61" xfId="0" applyFont="1" applyBorder="1" applyAlignment="1">
      <alignment horizontal="center" vertical="center"/>
    </xf>
    <xf numFmtId="0" fontId="42" fillId="0" borderId="7" xfId="0" applyFont="1" applyBorder="1" applyAlignment="1">
      <alignment horizontal="center" vertical="center"/>
    </xf>
    <xf numFmtId="0" fontId="42" fillId="0" borderId="63" xfId="0" applyFont="1" applyBorder="1" applyAlignment="1">
      <alignment horizontal="center" vertical="center"/>
    </xf>
    <xf numFmtId="0" fontId="42" fillId="0" borderId="13" xfId="0" applyFont="1" applyBorder="1" applyAlignment="1">
      <alignment horizontal="center" vertical="center"/>
    </xf>
    <xf numFmtId="0" fontId="42" fillId="0" borderId="21" xfId="0" applyFont="1" applyBorder="1" applyAlignment="1">
      <alignment horizontal="center" vertical="center"/>
    </xf>
    <xf numFmtId="0" fontId="42" fillId="0" borderId="65" xfId="0" applyFont="1" applyBorder="1" applyAlignment="1">
      <alignment horizontal="center" vertical="center"/>
    </xf>
    <xf numFmtId="0" fontId="42" fillId="0" borderId="24" xfId="0" applyFont="1" applyBorder="1" applyAlignment="1">
      <alignment horizontal="center" vertical="center"/>
    </xf>
    <xf numFmtId="0" fontId="42" fillId="0" borderId="8" xfId="0" applyFont="1" applyBorder="1" applyAlignment="1">
      <alignment horizontal="center" vertical="center"/>
    </xf>
    <xf numFmtId="0" fontId="42" fillId="0" borderId="9" xfId="0" applyFont="1" applyBorder="1" applyAlignment="1">
      <alignment horizontal="center" vertical="center"/>
    </xf>
    <xf numFmtId="0" fontId="42" fillId="0" borderId="22" xfId="0" applyFont="1" applyBorder="1" applyAlignment="1">
      <alignment horizontal="center" vertical="center"/>
    </xf>
    <xf numFmtId="0" fontId="42" fillId="9" borderId="99" xfId="0" applyFont="1" applyFill="1" applyBorder="1" applyAlignment="1">
      <alignment horizontal="right" vertical="center"/>
    </xf>
    <xf numFmtId="0" fontId="42" fillId="9" borderId="64" xfId="0" applyFont="1" applyFill="1" applyBorder="1" applyAlignment="1">
      <alignment horizontal="right" vertical="center"/>
    </xf>
    <xf numFmtId="38" fontId="42" fillId="9" borderId="0" xfId="0" applyNumberFormat="1" applyFont="1" applyFill="1" applyBorder="1" applyAlignment="1">
      <alignment horizontal="center" vertical="center"/>
    </xf>
    <xf numFmtId="0" fontId="42" fillId="9" borderId="0" xfId="0" applyFont="1" applyFill="1" applyBorder="1" applyAlignment="1">
      <alignment horizontal="center" vertical="center"/>
    </xf>
    <xf numFmtId="185" fontId="42" fillId="0" borderId="8" xfId="1" applyNumberFormat="1" applyFont="1" applyBorder="1" applyAlignment="1">
      <alignment horizontal="right" vertical="center"/>
    </xf>
    <xf numFmtId="185" fontId="42" fillId="0" borderId="9" xfId="1" applyNumberFormat="1" applyFont="1" applyBorder="1" applyAlignment="1">
      <alignment horizontal="right" vertical="center"/>
    </xf>
    <xf numFmtId="185" fontId="42" fillId="0" borderId="13" xfId="1" applyNumberFormat="1" applyFont="1" applyBorder="1" applyAlignment="1">
      <alignment horizontal="right" vertical="center"/>
    </xf>
    <xf numFmtId="185" fontId="42" fillId="0" borderId="1" xfId="1" applyNumberFormat="1" applyFont="1" applyBorder="1" applyAlignment="1">
      <alignment horizontal="right" vertical="center"/>
    </xf>
    <xf numFmtId="185" fontId="42" fillId="0" borderId="2" xfId="1" applyNumberFormat="1" applyFont="1" applyBorder="1" applyAlignment="1">
      <alignment horizontal="right" vertical="center"/>
    </xf>
    <xf numFmtId="185" fontId="42" fillId="0" borderId="17" xfId="1" applyNumberFormat="1" applyFont="1" applyBorder="1" applyAlignment="1">
      <alignment horizontal="right" vertical="center"/>
    </xf>
    <xf numFmtId="0" fontId="42" fillId="0" borderId="2" xfId="0" applyFont="1" applyBorder="1" applyAlignment="1">
      <alignment horizontal="left" vertical="center" indent="1"/>
    </xf>
    <xf numFmtId="0" fontId="42" fillId="0" borderId="3" xfId="0" applyFont="1" applyBorder="1" applyAlignment="1">
      <alignment horizontal="left" vertical="center" indent="1"/>
    </xf>
    <xf numFmtId="0" fontId="42" fillId="0" borderId="4" xfId="0" applyFont="1" applyBorder="1" applyAlignment="1">
      <alignment horizontal="left" vertical="center" indent="1"/>
    </xf>
    <xf numFmtId="0" fontId="42" fillId="9" borderId="3" xfId="0" applyFont="1" applyFill="1" applyBorder="1" applyAlignment="1">
      <alignment horizontal="center" vertical="center"/>
    </xf>
    <xf numFmtId="0" fontId="42" fillId="0" borderId="16" xfId="0" applyFont="1" applyBorder="1" applyAlignment="1">
      <alignment horizontal="left" vertical="center" indent="1"/>
    </xf>
    <xf numFmtId="0" fontId="42" fillId="0" borderId="55" xfId="0" applyFont="1" applyBorder="1" applyAlignment="1">
      <alignment horizontal="left" vertical="center" indent="1"/>
    </xf>
    <xf numFmtId="0" fontId="42" fillId="0" borderId="5" xfId="0" applyFont="1" applyBorder="1" applyAlignment="1">
      <alignment horizontal="left" vertical="center" indent="1"/>
    </xf>
    <xf numFmtId="0" fontId="42" fillId="0" borderId="36" xfId="0" applyFont="1" applyBorder="1" applyAlignment="1">
      <alignment horizontal="left" vertical="center"/>
    </xf>
    <xf numFmtId="0" fontId="42" fillId="0" borderId="37" xfId="0" applyFont="1" applyBorder="1" applyAlignment="1">
      <alignment horizontal="left" vertical="center"/>
    </xf>
    <xf numFmtId="0" fontId="42" fillId="0" borderId="39" xfId="0" applyFont="1" applyBorder="1" applyAlignment="1">
      <alignment horizontal="left" vertical="center"/>
    </xf>
    <xf numFmtId="38" fontId="42" fillId="0" borderId="50" xfId="0" applyNumberFormat="1" applyFont="1" applyBorder="1" applyAlignment="1">
      <alignment horizontal="center" vertical="center"/>
    </xf>
    <xf numFmtId="38" fontId="42" fillId="0" borderId="51" xfId="0" applyNumberFormat="1" applyFont="1" applyBorder="1" applyAlignment="1">
      <alignment horizontal="center" vertical="center"/>
    </xf>
    <xf numFmtId="0" fontId="42" fillId="0" borderId="59" xfId="0" applyFont="1" applyBorder="1" applyAlignment="1">
      <alignment horizontal="center" vertical="center"/>
    </xf>
    <xf numFmtId="0" fontId="42" fillId="0" borderId="51" xfId="0" applyFont="1" applyBorder="1" applyAlignment="1">
      <alignment horizontal="center" vertical="center"/>
    </xf>
    <xf numFmtId="38" fontId="42" fillId="0" borderId="33" xfId="0" applyNumberFormat="1" applyFont="1" applyBorder="1" applyAlignment="1">
      <alignment horizontal="right" vertical="center"/>
    </xf>
    <xf numFmtId="0" fontId="42" fillId="0" borderId="35" xfId="0" applyFont="1" applyBorder="1" applyAlignment="1">
      <alignment horizontal="right" vertical="center"/>
    </xf>
    <xf numFmtId="38" fontId="42" fillId="0" borderId="32" xfId="0" applyNumberFormat="1" applyFont="1" applyBorder="1" applyAlignment="1">
      <alignment horizontal="right" vertical="center"/>
    </xf>
    <xf numFmtId="38" fontId="42" fillId="0" borderId="64" xfId="0" applyNumberFormat="1" applyFont="1" applyBorder="1" applyAlignment="1">
      <alignment horizontal="right" vertical="center"/>
    </xf>
    <xf numFmtId="38" fontId="42" fillId="0" borderId="10" xfId="0" applyNumberFormat="1" applyFont="1" applyBorder="1" applyAlignment="1">
      <alignment horizontal="center" vertical="center"/>
    </xf>
    <xf numFmtId="0" fontId="42" fillId="0" borderId="11" xfId="0" applyFont="1" applyBorder="1" applyAlignment="1">
      <alignment horizontal="center" vertical="center"/>
    </xf>
    <xf numFmtId="38" fontId="42" fillId="0" borderId="11" xfId="0" applyNumberFormat="1" applyFont="1" applyBorder="1" applyAlignment="1">
      <alignment horizontal="center" vertical="center"/>
    </xf>
    <xf numFmtId="0" fontId="42" fillId="0" borderId="12" xfId="0" applyFont="1" applyBorder="1" applyAlignment="1">
      <alignment horizontal="center" vertical="center"/>
    </xf>
    <xf numFmtId="38" fontId="42" fillId="0" borderId="66" xfId="0" applyNumberFormat="1" applyFont="1" applyBorder="1" applyAlignment="1">
      <alignment horizontal="center" vertical="center"/>
    </xf>
    <xf numFmtId="0" fontId="42" fillId="0" borderId="10" xfId="0" applyFont="1" applyBorder="1" applyAlignment="1">
      <alignment horizontal="left" vertical="center"/>
    </xf>
    <xf numFmtId="0" fontId="42" fillId="0" borderId="11" xfId="0" applyFont="1" applyBorder="1" applyAlignment="1">
      <alignment horizontal="left" vertical="center"/>
    </xf>
    <xf numFmtId="0" fontId="42" fillId="0" borderId="12" xfId="0" applyFont="1" applyBorder="1" applyAlignment="1">
      <alignment horizontal="left" vertical="center"/>
    </xf>
    <xf numFmtId="0" fontId="42" fillId="0" borderId="32" xfId="0" applyFont="1" applyBorder="1" applyAlignment="1">
      <alignment horizontal="left" vertical="center"/>
    </xf>
    <xf numFmtId="0" fontId="42" fillId="0" borderId="33" xfId="0" applyFont="1" applyBorder="1" applyAlignment="1">
      <alignment horizontal="left" vertical="center"/>
    </xf>
    <xf numFmtId="0" fontId="42" fillId="0" borderId="35" xfId="0" applyFont="1" applyBorder="1" applyAlignment="1">
      <alignment horizontal="left" vertical="center"/>
    </xf>
    <xf numFmtId="0" fontId="42" fillId="0" borderId="33" xfId="0" applyFont="1" applyBorder="1" applyAlignment="1">
      <alignment horizontal="right" vertical="center"/>
    </xf>
    <xf numFmtId="0" fontId="42" fillId="0" borderId="18" xfId="0" applyFont="1" applyBorder="1" applyAlignment="1">
      <alignment horizontal="left" vertical="center"/>
    </xf>
    <xf numFmtId="0" fontId="42" fillId="0" borderId="19" xfId="0" applyFont="1" applyBorder="1" applyAlignment="1">
      <alignment horizontal="left" vertical="center"/>
    </xf>
    <xf numFmtId="0" fontId="42" fillId="0" borderId="20" xfId="0" applyFont="1" applyBorder="1" applyAlignment="1">
      <alignment horizontal="left" vertical="center"/>
    </xf>
    <xf numFmtId="0" fontId="42" fillId="0" borderId="10" xfId="0" applyFont="1" applyBorder="1" applyAlignment="1">
      <alignment horizontal="center" vertical="center"/>
    </xf>
    <xf numFmtId="0" fontId="42" fillId="0" borderId="60" xfId="0" applyFont="1" applyBorder="1" applyAlignment="1">
      <alignment vertical="center"/>
    </xf>
    <xf numFmtId="0" fontId="42" fillId="0" borderId="65" xfId="0" applyFont="1" applyBorder="1" applyAlignment="1">
      <alignment vertical="center"/>
    </xf>
    <xf numFmtId="0" fontId="42" fillId="0" borderId="46" xfId="0" applyFont="1" applyBorder="1" applyAlignment="1">
      <alignment vertical="center"/>
    </xf>
    <xf numFmtId="0" fontId="42" fillId="0" borderId="23" xfId="0" applyFont="1" applyBorder="1" applyAlignment="1">
      <alignment horizontal="left" vertical="center" shrinkToFit="1"/>
    </xf>
    <xf numFmtId="0" fontId="42" fillId="0" borderId="65" xfId="0" applyFont="1" applyBorder="1" applyAlignment="1">
      <alignment horizontal="left" vertical="center" shrinkToFit="1"/>
    </xf>
    <xf numFmtId="0" fontId="42" fillId="0" borderId="46" xfId="0" applyFont="1" applyBorder="1" applyAlignment="1">
      <alignment horizontal="left" vertical="center" shrinkToFit="1"/>
    </xf>
    <xf numFmtId="0" fontId="42" fillId="0" borderId="2" xfId="0" applyFont="1" applyBorder="1" applyAlignment="1">
      <alignment horizontal="left" vertical="center" shrinkToFit="1"/>
    </xf>
    <xf numFmtId="0" fontId="42" fillId="0" borderId="3" xfId="0" applyFont="1" applyBorder="1" applyAlignment="1">
      <alignment horizontal="left" vertical="center" shrinkToFit="1"/>
    </xf>
    <xf numFmtId="0" fontId="42" fillId="0" borderId="4" xfId="0" applyFont="1" applyBorder="1" applyAlignment="1">
      <alignment horizontal="left" vertical="center" shrinkToFit="1"/>
    </xf>
    <xf numFmtId="0" fontId="42" fillId="9" borderId="43" xfId="0" applyFont="1" applyFill="1" applyBorder="1" applyAlignment="1">
      <alignment horizontal="right" vertical="center"/>
    </xf>
    <xf numFmtId="0" fontId="42" fillId="9" borderId="0" xfId="0" applyFont="1" applyFill="1" applyBorder="1" applyAlignment="1">
      <alignment horizontal="right" vertical="center"/>
    </xf>
    <xf numFmtId="0" fontId="42" fillId="9" borderId="62" xfId="0" applyFont="1" applyFill="1" applyBorder="1" applyAlignment="1">
      <alignment horizontal="right" vertical="center"/>
    </xf>
    <xf numFmtId="0" fontId="42" fillId="9" borderId="85" xfId="0" applyFont="1" applyFill="1" applyBorder="1" applyAlignment="1">
      <alignment horizontal="center" vertical="center"/>
    </xf>
    <xf numFmtId="0" fontId="42" fillId="9" borderId="5" xfId="0" applyFont="1" applyFill="1" applyBorder="1" applyAlignment="1">
      <alignment horizontal="center" vertical="center"/>
    </xf>
    <xf numFmtId="0" fontId="42" fillId="9" borderId="54" xfId="0" applyFont="1" applyFill="1" applyBorder="1" applyAlignment="1">
      <alignment horizontal="center" vertical="center"/>
    </xf>
    <xf numFmtId="0" fontId="39" fillId="9" borderId="2" xfId="0" applyFont="1" applyFill="1" applyBorder="1" applyAlignment="1">
      <alignment horizontal="center" vertical="center" shrinkToFit="1"/>
    </xf>
    <xf numFmtId="0" fontId="39" fillId="9" borderId="3" xfId="0" applyFont="1" applyFill="1" applyBorder="1" applyAlignment="1">
      <alignment horizontal="center" vertical="center" shrinkToFit="1"/>
    </xf>
    <xf numFmtId="0" fontId="39" fillId="9" borderId="4" xfId="0" applyFont="1" applyFill="1" applyBorder="1" applyAlignment="1">
      <alignment horizontal="center" vertical="center" shrinkToFit="1"/>
    </xf>
    <xf numFmtId="38" fontId="42" fillId="9" borderId="2" xfId="0" applyNumberFormat="1" applyFont="1" applyFill="1" applyBorder="1" applyAlignment="1">
      <alignment horizontal="center" vertical="center"/>
    </xf>
    <xf numFmtId="38" fontId="42" fillId="9" borderId="3" xfId="0" applyNumberFormat="1" applyFont="1" applyFill="1" applyBorder="1" applyAlignment="1">
      <alignment horizontal="center" vertical="center"/>
    </xf>
    <xf numFmtId="38" fontId="42" fillId="9" borderId="5" xfId="0" applyNumberFormat="1" applyFont="1" applyFill="1" applyBorder="1" applyAlignment="1">
      <alignment horizontal="center" vertical="center"/>
    </xf>
    <xf numFmtId="38" fontId="42" fillId="9" borderId="44" xfId="0" applyNumberFormat="1" applyFont="1" applyFill="1" applyBorder="1" applyAlignment="1">
      <alignment horizontal="center" vertical="center"/>
    </xf>
    <xf numFmtId="0" fontId="45" fillId="0" borderId="6" xfId="0" applyFont="1" applyFill="1" applyBorder="1" applyAlignment="1">
      <alignment horizontal="center" vertical="center"/>
    </xf>
    <xf numFmtId="0" fontId="39" fillId="9" borderId="14" xfId="0" applyFont="1" applyFill="1" applyBorder="1" applyAlignment="1">
      <alignment horizontal="center" vertical="center" shrinkToFit="1"/>
    </xf>
    <xf numFmtId="0" fontId="39" fillId="9" borderId="1" xfId="0" applyFont="1" applyFill="1" applyBorder="1" applyAlignment="1">
      <alignment horizontal="center" vertical="center" shrinkToFit="1"/>
    </xf>
    <xf numFmtId="186" fontId="42" fillId="0" borderId="37" xfId="1" applyNumberFormat="1" applyFont="1" applyBorder="1" applyAlignment="1">
      <alignment horizontal="right" vertical="center"/>
    </xf>
    <xf numFmtId="186" fontId="42" fillId="0" borderId="38" xfId="1" applyNumberFormat="1" applyFont="1" applyBorder="1" applyAlignment="1">
      <alignment horizontal="right" vertical="center"/>
    </xf>
    <xf numFmtId="186" fontId="42" fillId="0" borderId="39" xfId="1" applyNumberFormat="1" applyFont="1" applyBorder="1" applyAlignment="1">
      <alignment horizontal="right" vertical="center"/>
    </xf>
    <xf numFmtId="183" fontId="42" fillId="0" borderId="8" xfId="0" applyNumberFormat="1" applyFont="1" applyFill="1" applyBorder="1" applyAlignment="1" applyProtection="1">
      <alignment horizontal="center" vertical="center"/>
    </xf>
    <xf numFmtId="183" fontId="42" fillId="0" borderId="9" xfId="0" applyNumberFormat="1" applyFont="1" applyFill="1" applyBorder="1" applyAlignment="1" applyProtection="1">
      <alignment horizontal="center" vertical="center"/>
    </xf>
    <xf numFmtId="183" fontId="42" fillId="0" borderId="13" xfId="0" applyNumberFormat="1" applyFont="1" applyFill="1" applyBorder="1" applyAlignment="1" applyProtection="1">
      <alignment horizontal="center" vertical="center"/>
    </xf>
    <xf numFmtId="184" fontId="42" fillId="0" borderId="33" xfId="1" applyNumberFormat="1" applyFont="1" applyBorder="1" applyAlignment="1">
      <alignment horizontal="right" vertical="center"/>
    </xf>
    <xf numFmtId="184" fontId="42" fillId="0" borderId="34" xfId="1" applyNumberFormat="1" applyFont="1" applyBorder="1" applyAlignment="1">
      <alignment horizontal="right" vertical="center"/>
    </xf>
    <xf numFmtId="184" fontId="42" fillId="0" borderId="35" xfId="1" applyNumberFormat="1" applyFont="1" applyBorder="1" applyAlignment="1">
      <alignment horizontal="right" vertical="center"/>
    </xf>
    <xf numFmtId="0" fontId="42" fillId="0" borderId="87" xfId="0" applyFont="1" applyBorder="1" applyAlignment="1">
      <alignment vertical="center"/>
    </xf>
    <xf numFmtId="0" fontId="42" fillId="0" borderId="63" xfId="0" applyFont="1" applyBorder="1" applyAlignment="1">
      <alignment vertical="center"/>
    </xf>
    <xf numFmtId="0" fontId="42" fillId="0" borderId="40" xfId="0" applyFont="1" applyBorder="1" applyAlignment="1">
      <alignment vertical="center"/>
    </xf>
    <xf numFmtId="40" fontId="42" fillId="0" borderId="2" xfId="1" applyNumberFormat="1" applyFont="1" applyBorder="1" applyAlignment="1">
      <alignment horizontal="right" vertical="center"/>
    </xf>
    <xf numFmtId="40" fontId="42" fillId="0" borderId="3" xfId="1" applyNumberFormat="1" applyFont="1" applyBorder="1" applyAlignment="1">
      <alignment horizontal="right" vertical="center"/>
    </xf>
    <xf numFmtId="40" fontId="42" fillId="0" borderId="23" xfId="1" applyNumberFormat="1" applyFont="1" applyBorder="1" applyAlignment="1">
      <alignment horizontal="right" vertical="center"/>
    </xf>
    <xf numFmtId="40" fontId="42" fillId="0" borderId="65" xfId="1" applyNumberFormat="1" applyFont="1" applyBorder="1" applyAlignment="1">
      <alignment horizontal="right" vertical="center"/>
    </xf>
    <xf numFmtId="0" fontId="42" fillId="9" borderId="15" xfId="0" applyFont="1" applyFill="1" applyBorder="1" applyAlignment="1">
      <alignment horizontal="right" vertical="center"/>
    </xf>
    <xf numFmtId="0" fontId="42" fillId="9" borderId="3" xfId="0" applyFont="1" applyFill="1" applyBorder="1" applyAlignment="1">
      <alignment horizontal="right" vertical="center"/>
    </xf>
    <xf numFmtId="0" fontId="42" fillId="9" borderId="4" xfId="0" applyFont="1" applyFill="1" applyBorder="1" applyAlignment="1">
      <alignment horizontal="right" vertical="center"/>
    </xf>
    <xf numFmtId="0" fontId="42" fillId="9" borderId="87" xfId="0" applyFont="1" applyFill="1" applyBorder="1" applyAlignment="1">
      <alignment horizontal="right" vertical="center"/>
    </xf>
    <xf numFmtId="0" fontId="42" fillId="9" borderId="63" xfId="0" applyFont="1" applyFill="1" applyBorder="1" applyAlignment="1">
      <alignment horizontal="right" vertical="center"/>
    </xf>
    <xf numFmtId="0" fontId="42" fillId="9" borderId="40" xfId="0" applyFont="1" applyFill="1" applyBorder="1" applyAlignment="1">
      <alignment horizontal="right" vertical="center"/>
    </xf>
    <xf numFmtId="0" fontId="42" fillId="0" borderId="19" xfId="0" applyFont="1" applyBorder="1" applyAlignment="1">
      <alignment horizontal="center" vertical="center" shrinkToFit="1"/>
    </xf>
    <xf numFmtId="0" fontId="42" fillId="0" borderId="55" xfId="0" applyFont="1" applyBorder="1" applyAlignment="1">
      <alignment horizontal="center" vertical="center" shrinkToFit="1"/>
    </xf>
    <xf numFmtId="0" fontId="42" fillId="0" borderId="20" xfId="0" applyFont="1" applyBorder="1" applyAlignment="1">
      <alignment horizontal="center" vertical="center" shrinkToFit="1"/>
    </xf>
    <xf numFmtId="0" fontId="33" fillId="12" borderId="43" xfId="10" applyFont="1" applyFill="1" applyBorder="1" applyAlignment="1" applyProtection="1">
      <alignment vertical="center" textRotation="255"/>
      <protection hidden="1"/>
    </xf>
    <xf numFmtId="0" fontId="33" fillId="12" borderId="45" xfId="10" applyFont="1" applyFill="1" applyBorder="1" applyAlignment="1" applyProtection="1">
      <alignment vertical="center" textRotation="255"/>
      <protection hidden="1"/>
    </xf>
    <xf numFmtId="14" fontId="35" fillId="12" borderId="10" xfId="6" applyNumberFormat="1" applyFont="1" applyFill="1" applyBorder="1" applyAlignment="1" applyProtection="1">
      <alignment horizontal="center" vertical="center" textRotation="255" wrapText="1"/>
      <protection hidden="1"/>
    </xf>
    <xf numFmtId="14" fontId="35" fillId="12" borderId="45" xfId="6" applyNumberFormat="1" applyFont="1" applyFill="1" applyBorder="1" applyAlignment="1" applyProtection="1">
      <alignment horizontal="center" vertical="center" textRotation="255" wrapText="1"/>
      <protection hidden="1"/>
    </xf>
    <xf numFmtId="0" fontId="35" fillId="12" borderId="28" xfId="6" applyFont="1" applyFill="1" applyBorder="1" applyAlignment="1" applyProtection="1">
      <alignment horizontal="center" vertical="center"/>
      <protection hidden="1"/>
    </xf>
    <xf numFmtId="0" fontId="35" fillId="12" borderId="6" xfId="6" applyFont="1" applyFill="1" applyBorder="1" applyAlignment="1" applyProtection="1">
      <alignment horizontal="center" vertical="center"/>
      <protection hidden="1"/>
    </xf>
    <xf numFmtId="196" fontId="35" fillId="12" borderId="123" xfId="11" applyNumberFormat="1" applyFont="1" applyFill="1" applyBorder="1" applyAlignment="1" applyProtection="1">
      <alignment horizontal="center" vertical="center"/>
      <protection hidden="1"/>
    </xf>
    <xf numFmtId="196" fontId="35" fillId="12" borderId="124" xfId="11" applyNumberFormat="1" applyFont="1" applyFill="1" applyBorder="1" applyAlignment="1" applyProtection="1">
      <alignment horizontal="center" vertical="center"/>
      <protection hidden="1"/>
    </xf>
    <xf numFmtId="196" fontId="35" fillId="12" borderId="125" xfId="11" applyNumberFormat="1" applyFont="1" applyFill="1" applyBorder="1" applyAlignment="1" applyProtection="1">
      <alignment horizontal="center" vertical="center"/>
      <protection hidden="1"/>
    </xf>
    <xf numFmtId="0" fontId="35" fillId="12" borderId="126" xfId="6" applyFont="1" applyFill="1" applyBorder="1" applyAlignment="1" applyProtection="1">
      <alignment horizontal="center" vertical="center"/>
      <protection hidden="1"/>
    </xf>
    <xf numFmtId="0" fontId="35" fillId="12" borderId="127" xfId="6" applyFont="1" applyFill="1" applyBorder="1" applyAlignment="1" applyProtection="1">
      <alignment horizontal="center" vertical="center"/>
      <protection hidden="1"/>
    </xf>
    <xf numFmtId="0" fontId="35" fillId="12" borderId="50" xfId="6" applyFont="1" applyFill="1" applyBorder="1" applyAlignment="1" applyProtection="1">
      <alignment horizontal="distributed" vertical="center" justifyLastLine="1"/>
      <protection hidden="1"/>
    </xf>
    <xf numFmtId="0" fontId="35" fillId="12" borderId="51" xfId="6" applyFont="1" applyFill="1" applyBorder="1" applyAlignment="1" applyProtection="1">
      <alignment horizontal="distributed" vertical="center" justifyLastLine="1"/>
      <protection hidden="1"/>
    </xf>
    <xf numFmtId="0" fontId="79" fillId="3" borderId="87" xfId="6" applyFont="1" applyFill="1" applyBorder="1" applyAlignment="1" applyProtection="1">
      <alignment horizontal="center" vertical="center" wrapText="1"/>
      <protection hidden="1"/>
    </xf>
    <xf numFmtId="0" fontId="79" fillId="3" borderId="63" xfId="6" applyFont="1" applyFill="1" applyBorder="1" applyAlignment="1" applyProtection="1">
      <alignment horizontal="center" vertical="center" wrapText="1"/>
      <protection hidden="1"/>
    </xf>
    <xf numFmtId="0" fontId="79" fillId="3" borderId="76" xfId="6" applyFont="1" applyFill="1" applyBorder="1" applyAlignment="1" applyProtection="1">
      <alignment horizontal="center" vertical="center" wrapText="1"/>
      <protection hidden="1"/>
    </xf>
    <xf numFmtId="0" fontId="35" fillId="12" borderId="55" xfId="6" applyFont="1" applyFill="1" applyBorder="1" applyAlignment="1" applyProtection="1">
      <alignment horizontal="center" vertical="center"/>
      <protection hidden="1"/>
    </xf>
    <xf numFmtId="0" fontId="35" fillId="12" borderId="5" xfId="6" applyFont="1" applyFill="1" applyBorder="1" applyAlignment="1" applyProtection="1">
      <alignment horizontal="center" vertical="center"/>
      <protection hidden="1"/>
    </xf>
    <xf numFmtId="0" fontId="35" fillId="12" borderId="54" xfId="6" applyFont="1" applyFill="1" applyBorder="1" applyAlignment="1" applyProtection="1">
      <alignment horizontal="center" vertical="center"/>
      <protection hidden="1"/>
    </xf>
    <xf numFmtId="0" fontId="35" fillId="12" borderId="97" xfId="6" applyFont="1" applyFill="1" applyBorder="1" applyAlignment="1" applyProtection="1">
      <alignment horizontal="center" vertical="center" wrapText="1"/>
      <protection hidden="1"/>
    </xf>
    <xf numFmtId="0" fontId="35" fillId="12" borderId="108" xfId="6" applyFont="1" applyFill="1" applyBorder="1" applyAlignment="1" applyProtection="1">
      <alignment horizontal="center" vertical="center" wrapText="1"/>
      <protection hidden="1"/>
    </xf>
    <xf numFmtId="0" fontId="35" fillId="12" borderId="34" xfId="6" applyFont="1" applyFill="1" applyBorder="1" applyAlignment="1" applyProtection="1">
      <alignment horizontal="center" vertical="center"/>
      <protection hidden="1"/>
    </xf>
    <xf numFmtId="0" fontId="35" fillId="12" borderId="64" xfId="6" applyFont="1" applyFill="1" applyBorder="1" applyAlignment="1" applyProtection="1">
      <alignment horizontal="center" vertical="center"/>
      <protection hidden="1"/>
    </xf>
    <xf numFmtId="0" fontId="35" fillId="12" borderId="56" xfId="6" applyFont="1" applyFill="1" applyBorder="1" applyAlignment="1" applyProtection="1">
      <alignment horizontal="center" vertical="center"/>
      <protection hidden="1"/>
    </xf>
    <xf numFmtId="0" fontId="79" fillId="12" borderId="9" xfId="6" applyFont="1" applyFill="1" applyBorder="1" applyAlignment="1" applyProtection="1">
      <alignment horizontal="center" vertical="center"/>
      <protection hidden="1"/>
    </xf>
    <xf numFmtId="0" fontId="79" fillId="12" borderId="63" xfId="6" applyFont="1" applyFill="1" applyBorder="1" applyAlignment="1" applyProtection="1">
      <alignment horizontal="center" vertical="center"/>
      <protection hidden="1"/>
    </xf>
    <xf numFmtId="0" fontId="79" fillId="12" borderId="40" xfId="6" applyFont="1" applyFill="1" applyBorder="1" applyAlignment="1" applyProtection="1">
      <alignment horizontal="center" vertical="center"/>
      <protection hidden="1"/>
    </xf>
    <xf numFmtId="0" fontId="35" fillId="0" borderId="58" xfId="6" applyFont="1" applyFill="1" applyBorder="1" applyAlignment="1" applyProtection="1">
      <alignment horizontal="center" vertical="center" wrapText="1"/>
      <protection hidden="1"/>
    </xf>
    <xf numFmtId="0" fontId="35" fillId="0" borderId="47" xfId="6" applyFont="1" applyFill="1" applyBorder="1" applyAlignment="1" applyProtection="1">
      <alignment horizontal="center" vertical="center" wrapText="1"/>
      <protection hidden="1"/>
    </xf>
    <xf numFmtId="0" fontId="35" fillId="0" borderId="103" xfId="6" applyFont="1" applyFill="1" applyBorder="1" applyAlignment="1" applyProtection="1">
      <alignment horizontal="center" vertical="center" wrapText="1"/>
      <protection hidden="1"/>
    </xf>
    <xf numFmtId="0" fontId="35" fillId="0" borderId="104" xfId="6" applyFont="1" applyFill="1" applyBorder="1" applyAlignment="1" applyProtection="1">
      <alignment horizontal="center" vertical="center" wrapText="1"/>
      <protection hidden="1"/>
    </xf>
    <xf numFmtId="0" fontId="35" fillId="12" borderId="11" xfId="6" applyFont="1" applyFill="1" applyBorder="1" applyAlignment="1" applyProtection="1">
      <alignment horizontal="center" vertical="center"/>
      <protection hidden="1"/>
    </xf>
    <xf numFmtId="0" fontId="35" fillId="12" borderId="105" xfId="6" applyFont="1" applyFill="1" applyBorder="1" applyAlignment="1" applyProtection="1">
      <alignment horizontal="center" vertical="center"/>
      <protection hidden="1"/>
    </xf>
    <xf numFmtId="0" fontId="35" fillId="0" borderId="11" xfId="6" applyFont="1" applyFill="1" applyBorder="1" applyAlignment="1" applyProtection="1">
      <alignment horizontal="center" vertical="center" wrapText="1"/>
      <protection hidden="1"/>
    </xf>
    <xf numFmtId="0" fontId="35" fillId="0" borderId="105" xfId="6" applyFont="1" applyFill="1" applyBorder="1" applyAlignment="1" applyProtection="1">
      <alignment horizontal="center" vertical="center" wrapText="1"/>
      <protection hidden="1"/>
    </xf>
    <xf numFmtId="0" fontId="33" fillId="3" borderId="50" xfId="10" applyFont="1" applyFill="1" applyBorder="1" applyAlignment="1" applyProtection="1">
      <alignment horizontal="center" vertical="center" justifyLastLine="1"/>
      <protection hidden="1"/>
    </xf>
    <xf numFmtId="0" fontId="33" fillId="3" borderId="51" xfId="10" applyFont="1" applyFill="1" applyBorder="1" applyAlignment="1" applyProtection="1">
      <alignment horizontal="center" vertical="center" justifyLastLine="1"/>
      <protection hidden="1"/>
    </xf>
    <xf numFmtId="0" fontId="33" fillId="3" borderId="52" xfId="10" applyFont="1" applyFill="1" applyBorder="1" applyAlignment="1" applyProtection="1">
      <alignment horizontal="center" vertical="center" justifyLastLine="1"/>
      <protection hidden="1"/>
    </xf>
    <xf numFmtId="192" fontId="33" fillId="12" borderId="91" xfId="10" applyNumberFormat="1" applyFont="1" applyFill="1" applyBorder="1" applyAlignment="1" applyProtection="1">
      <alignment horizontal="center" vertical="center"/>
      <protection hidden="1"/>
    </xf>
    <xf numFmtId="192" fontId="33" fillId="12" borderId="92" xfId="10" applyNumberFormat="1" applyFont="1" applyFill="1" applyBorder="1" applyAlignment="1" applyProtection="1">
      <alignment horizontal="center" vertical="center"/>
      <protection hidden="1"/>
    </xf>
    <xf numFmtId="0" fontId="79" fillId="12" borderId="11" xfId="6" applyFont="1" applyFill="1" applyBorder="1" applyAlignment="1" applyProtection="1">
      <alignment horizontal="center" vertical="center" wrapText="1"/>
      <protection hidden="1"/>
    </xf>
    <xf numFmtId="0" fontId="79" fillId="12" borderId="57" xfId="6" applyFont="1" applyFill="1" applyBorder="1" applyAlignment="1" applyProtection="1">
      <alignment horizontal="center" vertical="center" wrapText="1"/>
      <protection hidden="1"/>
    </xf>
    <xf numFmtId="0" fontId="79" fillId="12" borderId="27" xfId="6" applyFont="1" applyFill="1" applyBorder="1" applyAlignment="1" applyProtection="1">
      <alignment horizontal="center" vertical="center" wrapText="1"/>
      <protection hidden="1"/>
    </xf>
    <xf numFmtId="0" fontId="35" fillId="12" borderId="57" xfId="6" applyFont="1" applyFill="1" applyBorder="1" applyAlignment="1" applyProtection="1">
      <alignment horizontal="center" vertical="center"/>
      <protection hidden="1"/>
    </xf>
    <xf numFmtId="0" fontId="35" fillId="12" borderId="27" xfId="6" applyFont="1" applyFill="1" applyBorder="1" applyAlignment="1" applyProtection="1">
      <alignment horizontal="center" vertical="center"/>
      <protection hidden="1"/>
    </xf>
    <xf numFmtId="0" fontId="35" fillId="13" borderId="58" xfId="6" applyFont="1" applyFill="1" applyBorder="1" applyAlignment="1" applyProtection="1">
      <alignment horizontal="center" vertical="center" wrapText="1"/>
      <protection hidden="1"/>
    </xf>
    <xf numFmtId="0" fontId="35" fillId="13" borderId="103" xfId="6" applyFont="1" applyFill="1" applyBorder="1" applyAlignment="1" applyProtection="1">
      <alignment horizontal="center" vertical="center" wrapText="1"/>
      <protection hidden="1"/>
    </xf>
    <xf numFmtId="0" fontId="46" fillId="20" borderId="0" xfId="0" applyFont="1" applyFill="1" applyAlignment="1" applyProtection="1">
      <alignment horizontal="center" vertical="center"/>
    </xf>
    <xf numFmtId="0" fontId="122" fillId="0" borderId="0" xfId="0" applyFont="1" applyAlignment="1" applyProtection="1">
      <alignment horizontal="left" vertical="center"/>
    </xf>
    <xf numFmtId="0" fontId="29" fillId="0" borderId="0" xfId="0" applyFont="1" applyFill="1" applyBorder="1" applyAlignment="1" applyProtection="1">
      <alignment horizontal="center" vertical="center"/>
    </xf>
    <xf numFmtId="0" fontId="109" fillId="0" borderId="1" xfId="0" applyFont="1" applyFill="1" applyBorder="1" applyAlignment="1" applyProtection="1">
      <alignment horizontal="center" vertical="center"/>
    </xf>
    <xf numFmtId="0" fontId="29" fillId="0" borderId="1" xfId="0" applyFont="1" applyFill="1" applyBorder="1" applyAlignment="1" applyProtection="1">
      <alignment horizontal="center" vertical="center"/>
    </xf>
    <xf numFmtId="0" fontId="29" fillId="0" borderId="33" xfId="0" applyFont="1" applyFill="1" applyBorder="1" applyAlignment="1" applyProtection="1">
      <alignment horizontal="center" vertical="center"/>
    </xf>
    <xf numFmtId="0" fontId="110" fillId="0" borderId="0" xfId="0" applyFont="1" applyFill="1" applyBorder="1" applyAlignment="1" applyProtection="1">
      <alignment horizontal="left" vertical="center" wrapText="1"/>
    </xf>
    <xf numFmtId="0" fontId="109" fillId="0" borderId="1" xfId="0" applyFont="1" applyFill="1" applyBorder="1" applyAlignment="1" applyProtection="1">
      <alignment horizontal="left" vertical="center"/>
    </xf>
    <xf numFmtId="0" fontId="109" fillId="0" borderId="2" xfId="0" applyFont="1" applyFill="1" applyBorder="1" applyAlignment="1" applyProtection="1">
      <alignment horizontal="left" vertical="center"/>
    </xf>
    <xf numFmtId="0" fontId="29" fillId="18" borderId="0" xfId="0" applyFont="1" applyFill="1" applyAlignment="1" applyProtection="1">
      <alignment horizontal="left" vertical="top" wrapText="1"/>
    </xf>
    <xf numFmtId="0" fontId="29" fillId="18" borderId="0" xfId="0" applyFont="1" applyFill="1" applyAlignment="1" applyProtection="1">
      <alignment horizontal="left" vertical="top"/>
    </xf>
    <xf numFmtId="0" fontId="109" fillId="0" borderId="150" xfId="0" applyFont="1" applyBorder="1" applyAlignment="1" applyProtection="1">
      <alignment horizontal="left" vertical="center"/>
    </xf>
    <xf numFmtId="0" fontId="109" fillId="0" borderId="0" xfId="0" applyFont="1" applyAlignment="1" applyProtection="1">
      <alignment horizontal="left" vertical="center"/>
    </xf>
    <xf numFmtId="0" fontId="109" fillId="0" borderId="0" xfId="0" applyFont="1" applyFill="1" applyBorder="1" applyAlignment="1" applyProtection="1">
      <alignment horizontal="center" vertical="center"/>
    </xf>
    <xf numFmtId="0" fontId="109" fillId="0" borderId="0" xfId="0" applyFont="1" applyFill="1" applyBorder="1" applyAlignment="1" applyProtection="1">
      <alignment horizontal="left" vertical="center"/>
    </xf>
    <xf numFmtId="0" fontId="29" fillId="0" borderId="33" xfId="0" applyFont="1" applyBorder="1" applyAlignment="1" applyProtection="1">
      <alignment horizontal="left" vertical="center"/>
    </xf>
    <xf numFmtId="0" fontId="29" fillId="0" borderId="57" xfId="0" applyFont="1" applyBorder="1" applyAlignment="1" applyProtection="1">
      <alignment horizontal="left" vertical="center"/>
    </xf>
    <xf numFmtId="0" fontId="29" fillId="0" borderId="19" xfId="0" applyFont="1" applyBorder="1" applyAlignment="1" applyProtection="1">
      <alignment horizontal="left" vertical="center"/>
    </xf>
    <xf numFmtId="0" fontId="124" fillId="0" borderId="0" xfId="0" applyFont="1" applyFill="1" applyAlignment="1" applyProtection="1">
      <alignment horizontal="left" vertical="center" wrapText="1"/>
    </xf>
    <xf numFmtId="0" fontId="124" fillId="0" borderId="0" xfId="0" applyFont="1" applyFill="1" applyAlignment="1">
      <alignment vertical="center"/>
    </xf>
    <xf numFmtId="0" fontId="124" fillId="0" borderId="0" xfId="0" applyFont="1" applyFill="1" applyAlignment="1" applyProtection="1">
      <alignment vertical="center"/>
    </xf>
    <xf numFmtId="0" fontId="124" fillId="0" borderId="0" xfId="0" applyFont="1" applyFill="1" applyAlignment="1" applyProtection="1">
      <alignment horizontal="left" vertical="center"/>
    </xf>
    <xf numFmtId="0" fontId="24" fillId="0" borderId="0" xfId="0" applyFont="1" applyAlignment="1">
      <alignment horizontal="left" vertical="center" wrapText="1"/>
    </xf>
    <xf numFmtId="0" fontId="0" fillId="0" borderId="0" xfId="0" applyAlignment="1">
      <alignment horizontal="left" vertical="center" wrapText="1"/>
    </xf>
    <xf numFmtId="0" fontId="7" fillId="0" borderId="0" xfId="0" applyFont="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3" borderId="34" xfId="0" applyFill="1" applyBorder="1" applyAlignment="1">
      <alignment horizontal="center" vertical="center"/>
    </xf>
    <xf numFmtId="0" fontId="0" fillId="3" borderId="56" xfId="0" applyFill="1" applyBorder="1" applyAlignment="1">
      <alignment horizontal="center" vertical="center"/>
    </xf>
    <xf numFmtId="0" fontId="0" fillId="3" borderId="70" xfId="0" applyFill="1" applyBorder="1" applyAlignment="1">
      <alignment horizontal="center" vertical="center"/>
    </xf>
    <xf numFmtId="0" fontId="0" fillId="3" borderId="62" xfId="0" applyFill="1" applyBorder="1" applyAlignment="1">
      <alignment horizontal="center" vertical="center"/>
    </xf>
    <xf numFmtId="0" fontId="0" fillId="3" borderId="55" xfId="0" applyFill="1" applyBorder="1" applyAlignment="1">
      <alignment horizontal="center" vertical="center"/>
    </xf>
    <xf numFmtId="0" fontId="0" fillId="3" borderId="54" xfId="0" applyFill="1" applyBorder="1" applyAlignment="1">
      <alignment horizontal="center" vertical="center"/>
    </xf>
    <xf numFmtId="0" fontId="0" fillId="0" borderId="34" xfId="0" applyBorder="1" applyAlignment="1">
      <alignment horizontal="center" vertical="center"/>
    </xf>
    <xf numFmtId="0" fontId="0" fillId="0" borderId="56" xfId="0" applyBorder="1" applyAlignment="1">
      <alignment horizontal="center" vertical="center"/>
    </xf>
    <xf numFmtId="0" fontId="0" fillId="0" borderId="70" xfId="0" applyBorder="1" applyAlignment="1">
      <alignment horizontal="center" vertical="center"/>
    </xf>
    <xf numFmtId="0" fontId="0" fillId="0" borderId="62" xfId="0" applyBorder="1" applyAlignment="1">
      <alignment horizontal="center" vertical="center"/>
    </xf>
    <xf numFmtId="0" fontId="0" fillId="0" borderId="55" xfId="0" applyBorder="1" applyAlignment="1">
      <alignment horizontal="center" vertical="center"/>
    </xf>
    <xf numFmtId="0" fontId="0" fillId="0" borderId="54" xfId="0" applyBorder="1" applyAlignment="1">
      <alignment horizontal="center" vertical="center"/>
    </xf>
    <xf numFmtId="0" fontId="8" fillId="0" borderId="0" xfId="0" applyFont="1" applyAlignment="1">
      <alignment horizontal="left" vertical="center" wrapText="1"/>
    </xf>
    <xf numFmtId="0" fontId="17" fillId="0" borderId="6"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2"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63" xfId="0"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14" xfId="0" applyBorder="1" applyAlignment="1">
      <alignment horizontal="center" vertical="center" wrapText="1"/>
    </xf>
    <xf numFmtId="0" fontId="0" fillId="0" borderId="33" xfId="0" applyBorder="1" applyAlignment="1">
      <alignment horizontal="center" vertical="center"/>
    </xf>
    <xf numFmtId="0" fontId="0" fillId="0" borderId="19" xfId="0" applyBorder="1" applyAlignment="1">
      <alignment horizontal="center" vertical="center"/>
    </xf>
    <xf numFmtId="0" fontId="0" fillId="0" borderId="17" xfId="0" applyBorder="1" applyAlignment="1">
      <alignment horizontal="center" vertical="center"/>
    </xf>
    <xf numFmtId="0" fontId="0" fillId="0" borderId="25" xfId="0" applyBorder="1" applyAlignment="1">
      <alignment horizontal="center" vertical="center" textRotation="255"/>
    </xf>
    <xf numFmtId="0" fontId="0" fillId="0" borderId="30" xfId="0" applyBorder="1" applyAlignment="1">
      <alignment horizontal="center" vertical="center" textRotation="255"/>
    </xf>
    <xf numFmtId="0" fontId="0" fillId="0" borderId="31" xfId="0" applyBorder="1" applyAlignment="1">
      <alignment horizontal="center" vertical="center" textRotation="255"/>
    </xf>
    <xf numFmtId="0" fontId="0" fillId="0" borderId="32"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40" xfId="0" applyBorder="1" applyAlignment="1">
      <alignment horizontal="center" vertical="center"/>
    </xf>
    <xf numFmtId="0" fontId="0" fillId="0" borderId="45" xfId="0" applyBorder="1" applyAlignment="1">
      <alignment horizontal="center" vertical="center" textRotation="255"/>
    </xf>
    <xf numFmtId="0" fontId="0" fillId="0" borderId="26" xfId="0" applyBorder="1" applyAlignment="1">
      <alignment horizontal="center" vertical="center" textRotation="255"/>
    </xf>
    <xf numFmtId="0" fontId="0" fillId="0" borderId="52" xfId="0" applyBorder="1" applyAlignment="1">
      <alignment horizontal="center" vertical="center"/>
    </xf>
    <xf numFmtId="0" fontId="17" fillId="0" borderId="0" xfId="0" applyFont="1" applyAlignment="1">
      <alignment horizontal="center" vertical="center"/>
    </xf>
    <xf numFmtId="0" fontId="14" fillId="0" borderId="7"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5" fillId="0" borderId="21" xfId="0" applyFont="1" applyBorder="1" applyAlignment="1">
      <alignment horizontal="center" vertical="center"/>
    </xf>
    <xf numFmtId="0" fontId="15" fillId="0" borderId="22" xfId="0" applyFont="1" applyBorder="1" applyAlignment="1">
      <alignment horizontal="center" vertical="center"/>
    </xf>
    <xf numFmtId="0" fontId="15" fillId="0" borderId="23" xfId="0" applyFont="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40" xfId="0" applyFont="1" applyBorder="1" applyAlignment="1">
      <alignment horizontal="center" vertical="center"/>
    </xf>
    <xf numFmtId="0" fontId="15" fillId="0" borderId="63" xfId="0" applyFont="1" applyBorder="1" applyAlignment="1">
      <alignment horizontal="center" vertical="center"/>
    </xf>
    <xf numFmtId="0" fontId="15" fillId="0" borderId="13" xfId="0" applyFont="1" applyBorder="1" applyAlignment="1">
      <alignment horizontal="center" vertical="center"/>
    </xf>
    <xf numFmtId="0" fontId="15" fillId="0" borderId="46" xfId="0" applyFont="1" applyBorder="1" applyAlignment="1">
      <alignment horizontal="center" vertical="center"/>
    </xf>
    <xf numFmtId="0" fontId="15" fillId="0" borderId="65" xfId="0" applyFont="1" applyBorder="1" applyAlignment="1">
      <alignment horizontal="center" vertical="center"/>
    </xf>
    <xf numFmtId="0" fontId="15" fillId="0" borderId="24" xfId="0" applyFont="1" applyBorder="1" applyAlignment="1">
      <alignment horizontal="center" vertical="center"/>
    </xf>
    <xf numFmtId="0" fontId="15" fillId="0" borderId="32" xfId="0" applyFont="1" applyBorder="1" applyAlignment="1">
      <alignment horizontal="left" vertical="center"/>
    </xf>
    <xf numFmtId="0" fontId="15" fillId="0" borderId="33" xfId="0" applyFont="1" applyBorder="1" applyAlignment="1">
      <alignment horizontal="left" vertical="center"/>
    </xf>
    <xf numFmtId="0" fontId="15" fillId="0" borderId="35" xfId="0" applyFont="1" applyBorder="1" applyAlignment="1">
      <alignment horizontal="left" vertical="center"/>
    </xf>
    <xf numFmtId="38" fontId="15" fillId="0" borderId="56" xfId="0" applyNumberFormat="1" applyFont="1" applyBorder="1" applyAlignment="1">
      <alignment horizontal="right" vertical="center"/>
    </xf>
    <xf numFmtId="0" fontId="15" fillId="0" borderId="33" xfId="0" applyFont="1" applyBorder="1" applyAlignment="1">
      <alignment horizontal="right" vertical="center"/>
    </xf>
    <xf numFmtId="38" fontId="15" fillId="0" borderId="33" xfId="0" applyNumberFormat="1" applyFont="1" applyBorder="1" applyAlignment="1">
      <alignment horizontal="right" vertical="center"/>
    </xf>
    <xf numFmtId="0" fontId="15" fillId="0" borderId="34" xfId="0" applyFont="1" applyBorder="1" applyAlignment="1">
      <alignment horizontal="right" vertical="center"/>
    </xf>
    <xf numFmtId="38" fontId="15" fillId="0" borderId="32" xfId="0" applyNumberFormat="1" applyFont="1" applyBorder="1" applyAlignment="1">
      <alignment horizontal="right" vertical="center"/>
    </xf>
    <xf numFmtId="38" fontId="15" fillId="0" borderId="64" xfId="0" applyNumberFormat="1" applyFont="1" applyBorder="1" applyAlignment="1">
      <alignment horizontal="right" vertical="center"/>
    </xf>
    <xf numFmtId="0" fontId="15" fillId="0" borderId="35" xfId="0" applyFont="1" applyBorder="1" applyAlignment="1">
      <alignment horizontal="right" vertical="center"/>
    </xf>
    <xf numFmtId="0" fontId="14" fillId="0" borderId="18" xfId="0" applyFont="1" applyBorder="1" applyAlignment="1">
      <alignment horizontal="left" vertical="center"/>
    </xf>
    <xf numFmtId="0" fontId="15" fillId="0" borderId="19" xfId="0" applyFont="1" applyBorder="1" applyAlignment="1">
      <alignment horizontal="left" vertical="center"/>
    </xf>
    <xf numFmtId="0" fontId="15" fillId="0" borderId="20" xfId="0" applyFont="1" applyBorder="1" applyAlignment="1">
      <alignment horizontal="left" vertical="center"/>
    </xf>
    <xf numFmtId="38" fontId="15" fillId="0" borderId="54" xfId="0" applyNumberFormat="1" applyFont="1" applyBorder="1" applyAlignment="1">
      <alignment horizontal="right" vertical="center"/>
    </xf>
    <xf numFmtId="0" fontId="15" fillId="0" borderId="19" xfId="0" applyFont="1" applyBorder="1" applyAlignment="1">
      <alignment horizontal="right" vertical="center"/>
    </xf>
    <xf numFmtId="38" fontId="15" fillId="0" borderId="19" xfId="0" applyNumberFormat="1" applyFont="1" applyBorder="1" applyAlignment="1">
      <alignment horizontal="right" vertical="center"/>
    </xf>
    <xf numFmtId="0" fontId="15" fillId="0" borderId="55" xfId="0" applyFont="1" applyBorder="1" applyAlignment="1">
      <alignment horizontal="right" vertical="center"/>
    </xf>
    <xf numFmtId="38" fontId="15" fillId="0" borderId="18" xfId="0" applyNumberFormat="1" applyFont="1" applyBorder="1" applyAlignment="1">
      <alignment horizontal="right" vertical="center"/>
    </xf>
    <xf numFmtId="38" fontId="15" fillId="0" borderId="5" xfId="0" applyNumberFormat="1" applyFont="1" applyBorder="1" applyAlignment="1">
      <alignment horizontal="right" vertical="center"/>
    </xf>
    <xf numFmtId="0" fontId="15" fillId="0" borderId="20" xfId="0" applyFont="1" applyBorder="1" applyAlignment="1">
      <alignment horizontal="right" vertical="center"/>
    </xf>
    <xf numFmtId="38" fontId="15" fillId="0" borderId="11" xfId="0" applyNumberFormat="1" applyFont="1" applyBorder="1" applyAlignment="1">
      <alignment horizontal="center" vertical="center"/>
    </xf>
    <xf numFmtId="0" fontId="15" fillId="0" borderId="58" xfId="0" applyFont="1" applyBorder="1" applyAlignment="1">
      <alignment horizontal="center" vertical="center"/>
    </xf>
    <xf numFmtId="38" fontId="15" fillId="0" borderId="10" xfId="0" applyNumberFormat="1" applyFont="1" applyBorder="1" applyAlignment="1">
      <alignment horizontal="center" vertical="center"/>
    </xf>
    <xf numFmtId="38" fontId="15" fillId="0" borderId="66" xfId="0" applyNumberFormat="1" applyFont="1" applyBorder="1" applyAlignment="1">
      <alignment horizontal="center" vertical="center"/>
    </xf>
    <xf numFmtId="0" fontId="15" fillId="0" borderId="36" xfId="0" applyFont="1" applyBorder="1" applyAlignment="1">
      <alignment horizontal="left" vertical="center"/>
    </xf>
    <xf numFmtId="0" fontId="15" fillId="0" borderId="37" xfId="0" applyFont="1" applyBorder="1" applyAlignment="1">
      <alignment horizontal="left" vertical="center"/>
    </xf>
    <xf numFmtId="0" fontId="15" fillId="0" borderId="39" xfId="0" applyFont="1" applyBorder="1" applyAlignment="1">
      <alignment horizontal="left" vertical="center"/>
    </xf>
    <xf numFmtId="38" fontId="15" fillId="0" borderId="51" xfId="0" applyNumberFormat="1" applyFont="1" applyBorder="1" applyAlignment="1">
      <alignment horizontal="center" vertical="center"/>
    </xf>
    <xf numFmtId="0" fontId="15" fillId="0" borderId="51" xfId="0" applyFont="1" applyBorder="1" applyAlignment="1">
      <alignment horizontal="center" vertical="center"/>
    </xf>
    <xf numFmtId="38" fontId="15" fillId="0" borderId="50" xfId="0" applyNumberFormat="1" applyFont="1" applyBorder="1" applyAlignment="1">
      <alignment horizontal="center" vertical="center"/>
    </xf>
    <xf numFmtId="0" fontId="15" fillId="0" borderId="59" xfId="0" applyFont="1" applyBorder="1" applyAlignment="1">
      <alignment horizontal="center"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15" fillId="0" borderId="12" xfId="0" applyFont="1" applyBorder="1" applyAlignment="1">
      <alignment horizontal="left" vertical="center"/>
    </xf>
    <xf numFmtId="38" fontId="15" fillId="0" borderId="47" xfId="0" applyNumberFormat="1" applyFont="1" applyBorder="1" applyAlignment="1">
      <alignment horizontal="center" vertical="center"/>
    </xf>
    <xf numFmtId="0" fontId="5" fillId="0" borderId="1" xfId="0" applyFont="1" applyBorder="1" applyAlignment="1">
      <alignment horizontal="center" vertical="center"/>
    </xf>
    <xf numFmtId="0" fontId="6" fillId="5" borderId="1" xfId="0" applyFont="1" applyFill="1" applyBorder="1" applyAlignment="1">
      <alignment horizontal="center" vertical="center"/>
    </xf>
    <xf numFmtId="0" fontId="6" fillId="5" borderId="2" xfId="0" applyFont="1" applyFill="1" applyBorder="1" applyAlignment="1">
      <alignment horizontal="center" vertical="center"/>
    </xf>
    <xf numFmtId="0" fontId="6" fillId="0" borderId="1" xfId="0" applyFont="1" applyBorder="1" applyAlignment="1">
      <alignment horizontal="center" vertical="center"/>
    </xf>
    <xf numFmtId="0" fontId="6" fillId="0" borderId="33" xfId="0" applyFont="1" applyBorder="1" applyAlignment="1">
      <alignment horizontal="center" vertical="center"/>
    </xf>
    <xf numFmtId="0" fontId="6" fillId="0" borderId="2" xfId="0" applyFont="1" applyBorder="1" applyAlignment="1">
      <alignment horizontal="center" vertical="center"/>
    </xf>
    <xf numFmtId="0" fontId="6" fillId="5" borderId="33" xfId="0" applyFont="1" applyFill="1" applyBorder="1" applyAlignment="1">
      <alignment horizontal="center" vertical="center"/>
    </xf>
    <xf numFmtId="0" fontId="5" fillId="0" borderId="5" xfId="0" applyFont="1" applyBorder="1" applyAlignment="1">
      <alignment horizontal="center"/>
    </xf>
    <xf numFmtId="0" fontId="6" fillId="0" borderId="1" xfId="0" applyFont="1" applyBorder="1" applyAlignment="1">
      <alignment horizontal="center"/>
    </xf>
    <xf numFmtId="0" fontId="6" fillId="0" borderId="33" xfId="0" applyFont="1" applyBorder="1" applyAlignment="1">
      <alignment horizontal="center"/>
    </xf>
    <xf numFmtId="0" fontId="0" fillId="19" borderId="62" xfId="0" applyFill="1" applyBorder="1" applyAlignment="1">
      <alignment horizontal="left" vertical="center" wrapText="1"/>
    </xf>
    <xf numFmtId="0" fontId="6" fillId="0" borderId="4" xfId="0" applyFont="1" applyBorder="1" applyAlignment="1">
      <alignment horizontal="center" vertical="center"/>
    </xf>
    <xf numFmtId="0" fontId="12" fillId="19" borderId="2" xfId="0" applyFont="1" applyFill="1" applyBorder="1" applyAlignment="1">
      <alignment horizontal="center" vertical="center" wrapText="1"/>
    </xf>
    <xf numFmtId="0" fontId="12" fillId="19" borderId="3" xfId="0" applyFont="1" applyFill="1" applyBorder="1" applyAlignment="1">
      <alignment horizontal="center" vertical="center" wrapText="1"/>
    </xf>
    <xf numFmtId="0" fontId="12" fillId="19" borderId="4" xfId="0" applyFont="1" applyFill="1" applyBorder="1" applyAlignment="1">
      <alignment horizontal="center" vertical="center" wrapText="1"/>
    </xf>
    <xf numFmtId="0" fontId="7" fillId="19" borderId="1" xfId="0" applyFont="1" applyFill="1" applyBorder="1" applyAlignment="1">
      <alignment horizontal="center" vertical="center" wrapText="1"/>
    </xf>
    <xf numFmtId="0" fontId="7" fillId="19" borderId="1" xfId="0" applyFont="1" applyFill="1" applyBorder="1" applyAlignment="1">
      <alignment horizontal="center" vertical="center"/>
    </xf>
    <xf numFmtId="0" fontId="7" fillId="19" borderId="5" xfId="0" applyFont="1" applyFill="1" applyBorder="1" applyAlignment="1">
      <alignment horizontal="left" vertical="center"/>
    </xf>
    <xf numFmtId="0" fontId="0" fillId="19" borderId="70" xfId="0" applyFill="1" applyBorder="1" applyAlignment="1">
      <alignment horizontal="left" vertical="center" wrapText="1"/>
    </xf>
    <xf numFmtId="0" fontId="0" fillId="19" borderId="0" xfId="0" applyFill="1" applyAlignment="1">
      <alignment horizontal="left" vertical="center" wrapText="1"/>
    </xf>
    <xf numFmtId="0" fontId="6" fillId="19" borderId="1" xfId="0" applyFont="1" applyFill="1" applyBorder="1" applyAlignment="1">
      <alignment horizontal="center" vertical="center"/>
    </xf>
    <xf numFmtId="0" fontId="6" fillId="19" borderId="1" xfId="0" applyFont="1" applyFill="1" applyBorder="1" applyAlignment="1">
      <alignment horizontal="center" vertical="center" wrapText="1"/>
    </xf>
    <xf numFmtId="0" fontId="6" fillId="19" borderId="1" xfId="0" applyFont="1" applyFill="1" applyBorder="1" applyAlignment="1">
      <alignment horizontal="left" vertical="center" wrapText="1"/>
    </xf>
    <xf numFmtId="38" fontId="6" fillId="19" borderId="1" xfId="0" applyNumberFormat="1" applyFont="1" applyFill="1" applyBorder="1" applyAlignment="1">
      <alignment horizontal="center" vertical="center"/>
    </xf>
    <xf numFmtId="38" fontId="6" fillId="19" borderId="2" xfId="0" applyNumberFormat="1" applyFont="1" applyFill="1" applyBorder="1" applyAlignment="1">
      <alignment horizontal="center" vertical="center"/>
    </xf>
    <xf numFmtId="38" fontId="6" fillId="19" borderId="3" xfId="0" applyNumberFormat="1" applyFont="1" applyFill="1" applyBorder="1" applyAlignment="1">
      <alignment horizontal="center" vertical="center"/>
    </xf>
    <xf numFmtId="38" fontId="6" fillId="19" borderId="4" xfId="0" applyNumberFormat="1" applyFont="1" applyFill="1" applyBorder="1" applyAlignment="1">
      <alignment horizontal="center" vertical="center"/>
    </xf>
    <xf numFmtId="0" fontId="12" fillId="19" borderId="2" xfId="0" applyFont="1" applyFill="1" applyBorder="1" applyAlignment="1">
      <alignment horizontal="left" vertical="center"/>
    </xf>
    <xf numFmtId="0" fontId="12" fillId="19" borderId="3" xfId="0" applyFont="1" applyFill="1" applyBorder="1" applyAlignment="1">
      <alignment horizontal="left" vertical="center"/>
    </xf>
    <xf numFmtId="0" fontId="12" fillId="19" borderId="4" xfId="0" applyFont="1" applyFill="1" applyBorder="1" applyAlignment="1">
      <alignment horizontal="left" vertical="center"/>
    </xf>
    <xf numFmtId="0" fontId="4" fillId="19" borderId="1" xfId="0" applyFont="1" applyFill="1" applyBorder="1" applyAlignment="1">
      <alignment horizontal="left" vertical="center" wrapText="1"/>
    </xf>
    <xf numFmtId="0" fontId="4" fillId="19" borderId="7" xfId="0" applyFont="1" applyFill="1" applyBorder="1" applyAlignment="1">
      <alignment horizontal="center" vertical="center" wrapText="1"/>
    </xf>
    <xf numFmtId="0" fontId="4" fillId="19" borderId="14" xfId="0" applyFont="1" applyFill="1" applyBorder="1" applyAlignment="1">
      <alignment horizontal="center" vertical="center"/>
    </xf>
    <xf numFmtId="0" fontId="4" fillId="19" borderId="15" xfId="0" applyFont="1" applyFill="1" applyBorder="1" applyAlignment="1">
      <alignment horizontal="center" vertical="center"/>
    </xf>
    <xf numFmtId="0" fontId="4" fillId="19" borderId="60" xfId="0" applyFont="1" applyFill="1" applyBorder="1" applyAlignment="1">
      <alignment horizontal="center" vertical="center"/>
    </xf>
    <xf numFmtId="0" fontId="7" fillId="0" borderId="0" xfId="0" applyFont="1" applyBorder="1" applyAlignment="1">
      <alignment horizontal="center" vertical="center"/>
    </xf>
    <xf numFmtId="38" fontId="103" fillId="19" borderId="38" xfId="0" applyNumberFormat="1" applyFont="1" applyFill="1" applyBorder="1" applyAlignment="1">
      <alignment horizontal="center" vertical="center"/>
    </xf>
    <xf numFmtId="0" fontId="103" fillId="19" borderId="51" xfId="0" applyFont="1" applyFill="1" applyBorder="1" applyAlignment="1">
      <alignment horizontal="center" vertical="center"/>
    </xf>
    <xf numFmtId="0" fontId="103" fillId="19" borderId="52" xfId="0" applyFont="1" applyFill="1" applyBorder="1" applyAlignment="1">
      <alignment horizontal="center" vertical="center"/>
    </xf>
    <xf numFmtId="0" fontId="4" fillId="19" borderId="137" xfId="0" applyFont="1" applyFill="1" applyBorder="1" applyAlignment="1">
      <alignment horizontal="center" vertical="center" wrapText="1"/>
    </xf>
    <xf numFmtId="0" fontId="4" fillId="19" borderId="132" xfId="0" applyFont="1" applyFill="1" applyBorder="1" applyAlignment="1">
      <alignment horizontal="center" vertical="center" wrapText="1"/>
    </xf>
    <xf numFmtId="0" fontId="4" fillId="19" borderId="69" xfId="0" applyFont="1" applyFill="1" applyBorder="1" applyAlignment="1">
      <alignment horizontal="center" vertical="center" wrapText="1"/>
    </xf>
    <xf numFmtId="0" fontId="4" fillId="19" borderId="129" xfId="0" applyFont="1" applyFill="1" applyBorder="1" applyAlignment="1">
      <alignment horizontal="center" vertical="center" wrapText="1"/>
    </xf>
    <xf numFmtId="0" fontId="4" fillId="19" borderId="7" xfId="0" applyFont="1" applyFill="1" applyBorder="1" applyAlignment="1">
      <alignment horizontal="center" vertical="center"/>
    </xf>
    <xf numFmtId="0" fontId="4" fillId="19" borderId="8" xfId="0" applyFont="1" applyFill="1" applyBorder="1" applyAlignment="1">
      <alignment horizontal="center" vertical="center"/>
    </xf>
    <xf numFmtId="0" fontId="4" fillId="19" borderId="21" xfId="0" applyFont="1" applyFill="1" applyBorder="1" applyAlignment="1">
      <alignment horizontal="center" vertical="center"/>
    </xf>
    <xf numFmtId="0" fontId="4" fillId="19" borderId="22" xfId="0" applyFont="1" applyFill="1" applyBorder="1" applyAlignment="1">
      <alignment horizontal="center" vertical="center"/>
    </xf>
    <xf numFmtId="0" fontId="4" fillId="19" borderId="13" xfId="0" applyFont="1" applyFill="1" applyBorder="1" applyAlignment="1">
      <alignment horizontal="center" vertical="center" wrapText="1"/>
    </xf>
    <xf numFmtId="0" fontId="4" fillId="19" borderId="24" xfId="0" applyFont="1" applyFill="1" applyBorder="1" applyAlignment="1">
      <alignment horizontal="center" vertical="center" wrapText="1"/>
    </xf>
    <xf numFmtId="0" fontId="4" fillId="19" borderId="18" xfId="0" applyFont="1" applyFill="1" applyBorder="1" applyAlignment="1">
      <alignment horizontal="center" vertical="center"/>
    </xf>
    <xf numFmtId="0" fontId="4" fillId="19" borderId="99" xfId="0" applyFont="1" applyFill="1" applyBorder="1" applyAlignment="1">
      <alignment horizontal="center" vertical="center"/>
    </xf>
    <xf numFmtId="0" fontId="111" fillId="19" borderId="41" xfId="0" applyFont="1" applyFill="1" applyBorder="1" applyAlignment="1">
      <alignment horizontal="center" vertical="center" wrapText="1"/>
    </xf>
    <xf numFmtId="0" fontId="111" fillId="19" borderId="43" xfId="0" applyFont="1" applyFill="1" applyBorder="1" applyAlignment="1">
      <alignment horizontal="center" vertical="center" wrapText="1"/>
    </xf>
    <xf numFmtId="0" fontId="111" fillId="19" borderId="48" xfId="0" applyFont="1" applyFill="1" applyBorder="1" applyAlignment="1">
      <alignment horizontal="center" vertical="center" wrapText="1"/>
    </xf>
    <xf numFmtId="0" fontId="111" fillId="19" borderId="137" xfId="0" applyFont="1" applyFill="1" applyBorder="1" applyAlignment="1">
      <alignment horizontal="center" vertical="center" wrapText="1"/>
    </xf>
    <xf numFmtId="0" fontId="111" fillId="19" borderId="132" xfId="0" applyFont="1" applyFill="1" applyBorder="1" applyAlignment="1">
      <alignment horizontal="center" vertical="center" wrapText="1"/>
    </xf>
    <xf numFmtId="0" fontId="111" fillId="19" borderId="129" xfId="0" applyFont="1" applyFill="1" applyBorder="1" applyAlignment="1">
      <alignment horizontal="center" vertical="center" wrapText="1"/>
    </xf>
    <xf numFmtId="0" fontId="111" fillId="19" borderId="42" xfId="0" applyFont="1" applyFill="1" applyBorder="1" applyAlignment="1">
      <alignment horizontal="center" vertical="center" wrapText="1"/>
    </xf>
    <xf numFmtId="0" fontId="111" fillId="19" borderId="44" xfId="0" applyFont="1" applyFill="1" applyBorder="1" applyAlignment="1">
      <alignment horizontal="center" vertical="center" wrapText="1"/>
    </xf>
    <xf numFmtId="0" fontId="111" fillId="19" borderId="49" xfId="0" applyFont="1" applyFill="1" applyBorder="1" applyAlignment="1">
      <alignment horizontal="center" vertical="center" wrapText="1"/>
    </xf>
    <xf numFmtId="0" fontId="0" fillId="0" borderId="33" xfId="0" applyBorder="1" applyAlignment="1">
      <alignment horizontal="center"/>
    </xf>
    <xf numFmtId="0" fontId="0" fillId="0" borderId="19" xfId="0" applyBorder="1" applyAlignment="1">
      <alignment horizontal="center"/>
    </xf>
    <xf numFmtId="0" fontId="0" fillId="0" borderId="1" xfId="0" applyBorder="1" applyAlignment="1">
      <alignment horizontal="center"/>
    </xf>
    <xf numFmtId="0" fontId="0" fillId="0" borderId="1" xfId="0" applyBorder="1" applyAlignment="1">
      <alignment horizontal="left" vertical="center"/>
    </xf>
    <xf numFmtId="0" fontId="110" fillId="3" borderId="50" xfId="0" applyFont="1" applyFill="1" applyBorder="1" applyAlignment="1">
      <alignment horizontal="left" vertical="center"/>
    </xf>
    <xf numFmtId="0" fontId="110" fillId="3" borderId="51" xfId="0" applyFont="1" applyFill="1" applyBorder="1" applyAlignment="1">
      <alignment horizontal="left" vertical="center"/>
    </xf>
    <xf numFmtId="0" fontId="110" fillId="3" borderId="59" xfId="0" applyFont="1" applyFill="1" applyBorder="1" applyAlignment="1">
      <alignment horizontal="left" vertical="center"/>
    </xf>
    <xf numFmtId="0" fontId="29" fillId="0" borderId="33" xfId="0" applyFont="1" applyBorder="1" applyAlignment="1">
      <alignment horizontal="left" vertical="center"/>
    </xf>
    <xf numFmtId="0" fontId="29" fillId="0" borderId="57" xfId="0" applyFont="1" applyBorder="1" applyAlignment="1">
      <alignment horizontal="left" vertical="center"/>
    </xf>
    <xf numFmtId="0" fontId="29" fillId="0" borderId="19" xfId="0" applyFont="1" applyBorder="1" applyAlignment="1">
      <alignment horizontal="left" vertical="center"/>
    </xf>
    <xf numFmtId="0" fontId="109" fillId="0" borderId="0" xfId="0" applyFont="1" applyAlignment="1">
      <alignment horizontal="left" vertical="center"/>
    </xf>
    <xf numFmtId="0" fontId="29" fillId="0" borderId="7" xfId="0" applyFont="1" applyBorder="1" applyAlignment="1">
      <alignment horizontal="center" vertical="center" wrapText="1"/>
    </xf>
    <xf numFmtId="0" fontId="29" fillId="0" borderId="8" xfId="0" applyFont="1" applyBorder="1" applyAlignment="1">
      <alignment horizontal="center" vertical="center"/>
    </xf>
    <xf numFmtId="0" fontId="29" fillId="0" borderId="13" xfId="0" applyFont="1" applyBorder="1" applyAlignment="1">
      <alignment horizontal="center" vertical="center"/>
    </xf>
    <xf numFmtId="0" fontId="29" fillId="0" borderId="21" xfId="0" applyFont="1" applyBorder="1" applyAlignment="1">
      <alignment horizontal="center" vertical="center"/>
    </xf>
    <xf numFmtId="0" fontId="29" fillId="0" borderId="22" xfId="0" applyFont="1" applyBorder="1" applyAlignment="1">
      <alignment horizontal="center" vertical="center"/>
    </xf>
    <xf numFmtId="0" fontId="29" fillId="0" borderId="24" xfId="0" applyFont="1" applyBorder="1" applyAlignment="1">
      <alignment horizontal="center" vertical="center"/>
    </xf>
    <xf numFmtId="0" fontId="110" fillId="20" borderId="36" xfId="0" applyFont="1" applyFill="1" applyBorder="1" applyAlignment="1">
      <alignment horizontal="center" vertical="center"/>
    </xf>
    <xf numFmtId="0" fontId="110" fillId="20" borderId="37" xfId="0" applyFont="1" applyFill="1" applyBorder="1" applyAlignment="1">
      <alignment horizontal="center" vertical="center"/>
    </xf>
    <xf numFmtId="0" fontId="110" fillId="20" borderId="39" xfId="0" applyFont="1" applyFill="1" applyBorder="1" applyAlignment="1">
      <alignment horizontal="center" vertical="center"/>
    </xf>
    <xf numFmtId="0" fontId="109" fillId="0" borderId="0" xfId="0" applyFont="1" applyAlignment="1">
      <alignment horizontal="right" vertical="center"/>
    </xf>
    <xf numFmtId="0" fontId="109" fillId="21" borderId="50" xfId="0" applyFont="1" applyFill="1" applyBorder="1" applyAlignment="1">
      <alignment horizontal="left" vertical="center"/>
    </xf>
    <xf numFmtId="0" fontId="109" fillId="21" borderId="51" xfId="0" applyFont="1" applyFill="1" applyBorder="1" applyAlignment="1">
      <alignment horizontal="left" vertical="center"/>
    </xf>
    <xf numFmtId="0" fontId="29" fillId="0" borderId="41" xfId="0" applyFont="1" applyBorder="1" applyAlignment="1">
      <alignment horizontal="center" vertical="center" wrapText="1"/>
    </xf>
    <xf numFmtId="0" fontId="29" fillId="0" borderId="42" xfId="0" applyFont="1" applyBorder="1" applyAlignment="1">
      <alignment horizontal="center" vertical="center" wrapText="1"/>
    </xf>
    <xf numFmtId="0" fontId="29" fillId="0" borderId="43" xfId="0" applyFont="1" applyBorder="1" applyAlignment="1">
      <alignment horizontal="center" vertical="center" wrapText="1"/>
    </xf>
    <xf numFmtId="0" fontId="29" fillId="0" borderId="44" xfId="0" applyFont="1" applyBorder="1" applyAlignment="1">
      <alignment horizontal="center" vertical="center" wrapText="1"/>
    </xf>
    <xf numFmtId="0" fontId="29" fillId="0" borderId="48" xfId="0" applyFont="1" applyBorder="1" applyAlignment="1">
      <alignment horizontal="center" vertical="center" wrapText="1"/>
    </xf>
    <xf numFmtId="0" fontId="29" fillId="0" borderId="49" xfId="0" applyFont="1" applyBorder="1" applyAlignment="1">
      <alignment horizontal="center" vertical="center" wrapText="1"/>
    </xf>
    <xf numFmtId="0" fontId="110" fillId="20" borderId="41" xfId="0" applyFont="1" applyFill="1" applyBorder="1" applyAlignment="1">
      <alignment horizontal="center" vertical="center" wrapText="1"/>
    </xf>
    <xf numFmtId="0" fontId="110" fillId="20" borderId="42" xfId="0" applyFont="1" applyFill="1" applyBorder="1" applyAlignment="1">
      <alignment horizontal="center" vertical="center" wrapText="1"/>
    </xf>
    <xf numFmtId="0" fontId="110" fillId="20" borderId="43" xfId="0" applyFont="1" applyFill="1" applyBorder="1" applyAlignment="1">
      <alignment horizontal="center" vertical="center" wrapText="1"/>
    </xf>
    <xf numFmtId="0" fontId="110" fillId="20" borderId="44" xfId="0" applyFont="1" applyFill="1" applyBorder="1" applyAlignment="1">
      <alignment horizontal="center" vertical="center" wrapText="1"/>
    </xf>
    <xf numFmtId="0" fontId="110" fillId="20" borderId="48" xfId="0" applyFont="1" applyFill="1" applyBorder="1" applyAlignment="1">
      <alignment horizontal="center" vertical="center" wrapText="1"/>
    </xf>
    <xf numFmtId="0" fontId="110" fillId="20" borderId="49" xfId="0" applyFont="1" applyFill="1" applyBorder="1" applyAlignment="1">
      <alignment horizontal="center" vertical="center" wrapText="1"/>
    </xf>
    <xf numFmtId="38" fontId="42" fillId="0" borderId="9" xfId="1" quotePrefix="1" applyFont="1" applyBorder="1" applyAlignment="1">
      <alignment horizontal="right" vertical="center"/>
    </xf>
    <xf numFmtId="38" fontId="42" fillId="0" borderId="23" xfId="1" quotePrefix="1" applyFont="1" applyBorder="1" applyAlignment="1">
      <alignment horizontal="right" vertical="center"/>
    </xf>
    <xf numFmtId="0" fontId="53"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57" fillId="9" borderId="35" xfId="0" applyFont="1" applyFill="1" applyBorder="1" applyAlignment="1">
      <alignment horizontal="center" vertical="center" wrapText="1" shrinkToFit="1"/>
    </xf>
    <xf numFmtId="0" fontId="56" fillId="9" borderId="20" xfId="0" applyFont="1" applyFill="1" applyBorder="1" applyAlignment="1">
      <alignment horizontal="center" vertical="center" shrinkToFit="1"/>
    </xf>
  </cellXfs>
  <cellStyles count="13">
    <cellStyle name="ハイパーリンク" xfId="8" builtinId="8"/>
    <cellStyle name="桁区切り" xfId="1" builtinId="6"/>
    <cellStyle name="桁区切り 2" xfId="3" xr:uid="{00000000-0005-0000-0000-000002000000}"/>
    <cellStyle name="桁区切り 2 2" xfId="11" xr:uid="{00000000-0005-0000-0000-000003000000}"/>
    <cellStyle name="桁区切り 3" xfId="7" xr:uid="{00000000-0005-0000-0000-000004000000}"/>
    <cellStyle name="通貨" xfId="9" builtinId="7"/>
    <cellStyle name="標準" xfId="0" builtinId="0"/>
    <cellStyle name="標準 2" xfId="2" xr:uid="{00000000-0005-0000-0000-000007000000}"/>
    <cellStyle name="標準 2 2" xfId="10" xr:uid="{00000000-0005-0000-0000-000008000000}"/>
    <cellStyle name="標準 3" xfId="4" xr:uid="{00000000-0005-0000-0000-000009000000}"/>
    <cellStyle name="標準 4" xfId="5" xr:uid="{00000000-0005-0000-0000-00000A000000}"/>
    <cellStyle name="標準 5" xfId="12" xr:uid="{153152D6-AB15-4636-8094-C37071E930F1}"/>
    <cellStyle name="標準_負荷チェックシート（水谷修正）" xfId="6" xr:uid="{00000000-0005-0000-0000-00000B000000}"/>
  </cellStyles>
  <dxfs count="47">
    <dxf>
      <fill>
        <patternFill>
          <bgColor rgb="FFFFFF99"/>
        </patternFill>
      </fill>
    </dxf>
    <dxf>
      <fill>
        <patternFill>
          <bgColor rgb="FFFFFF99"/>
        </patternFill>
      </fill>
    </dxf>
    <dxf>
      <fill>
        <patternFill>
          <bgColor theme="9" tint="0.79998168889431442"/>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rgb="FFFFFF00"/>
        </patternFill>
      </fill>
    </dxf>
    <dxf>
      <fill>
        <patternFill patternType="solid">
          <bgColor theme="9" tint="0.59996337778862885"/>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9" tint="0.59996337778862885"/>
        </patternFill>
      </fill>
    </dxf>
    <dxf>
      <fill>
        <patternFill>
          <bgColor theme="8" tint="0.79998168889431442"/>
        </patternFill>
      </fill>
    </dxf>
    <dxf>
      <fill>
        <patternFill>
          <bgColor rgb="FFFFFF99"/>
        </patternFill>
      </fill>
    </dxf>
    <dxf>
      <fill>
        <patternFill>
          <bgColor theme="8" tint="0.79998168889431442"/>
        </patternFill>
      </fill>
    </dxf>
    <dxf>
      <fill>
        <patternFill>
          <bgColor rgb="FFFFFF99"/>
        </patternFill>
      </fill>
    </dxf>
    <dxf>
      <fill>
        <patternFill>
          <bgColor rgb="FFFFFF99"/>
        </patternFill>
      </fill>
    </dxf>
    <dxf>
      <fill>
        <patternFill>
          <bgColor rgb="FFFFFF99"/>
        </patternFill>
      </fill>
    </dxf>
    <dxf>
      <fill>
        <patternFill>
          <bgColor theme="9" tint="0.59996337778862885"/>
        </patternFill>
      </fill>
    </dxf>
    <dxf>
      <fill>
        <patternFill>
          <bgColor rgb="FFFFFF99"/>
        </patternFill>
      </fill>
    </dxf>
    <dxf>
      <fill>
        <patternFill>
          <bgColor theme="2" tint="-9.9948118533890809E-2"/>
        </patternFill>
      </fill>
    </dxf>
    <dxf>
      <fill>
        <patternFill>
          <bgColor rgb="FFFFFF99"/>
        </patternFill>
      </fill>
    </dxf>
    <dxf>
      <fill>
        <patternFill>
          <bgColor rgb="FFFFFF99"/>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Medium9"/>
  <colors>
    <mruColors>
      <color rgb="FFFFFF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さいたま市!$N$3</c:f>
              <c:strCache>
                <c:ptCount val="1"/>
                <c:pt idx="0">
                  <c:v>空調消費電力削減量</c:v>
                </c:pt>
              </c:strCache>
            </c:strRef>
          </c:tx>
          <c:invertIfNegative val="0"/>
          <c:val>
            <c:numRef>
              <c:f>さいたま市!$N$6:$N$17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C29-4896-B64B-09379DEE2762}"/>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さいたま市外壁断熱!$O$46</c:f>
              <c:strCache>
                <c:ptCount val="1"/>
                <c:pt idx="0">
                  <c:v>CO２
削減量</c:v>
                </c:pt>
              </c:strCache>
            </c:strRef>
          </c:tx>
          <c:spPr>
            <a:solidFill>
              <a:srgbClr val="FFC000"/>
            </a:solidFill>
            <a:ln>
              <a:solidFill>
                <a:srgbClr val="FFC000"/>
              </a:solidFill>
            </a:ln>
          </c:spPr>
          <c:invertIfNegative val="0"/>
          <c:val>
            <c:numRef>
              <c:f>さいたま市外壁断熱!$O$49:$O$60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9DA-4895-A3F3-F1BF7D14624B}"/>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さいたま市窓遮熱!$N$46</c:f>
              <c:strCache>
                <c:ptCount val="1"/>
                <c:pt idx="0">
                  <c:v>空調消費電力削減量</c:v>
                </c:pt>
              </c:strCache>
            </c:strRef>
          </c:tx>
          <c:invertIfNegative val="0"/>
          <c:val>
            <c:numRef>
              <c:f>さいたま市窓遮熱!$N$49:$N$60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8C-4C19-8B32-E087583884F6}"/>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さいたま市窓遮熱!$O$46</c:f>
              <c:strCache>
                <c:ptCount val="1"/>
                <c:pt idx="0">
                  <c:v>CO２
削減量</c:v>
                </c:pt>
              </c:strCache>
            </c:strRef>
          </c:tx>
          <c:spPr>
            <a:solidFill>
              <a:srgbClr val="FFC000"/>
            </a:solidFill>
            <a:ln>
              <a:solidFill>
                <a:srgbClr val="FFC000"/>
              </a:solidFill>
            </a:ln>
          </c:spPr>
          <c:invertIfNegative val="0"/>
          <c:val>
            <c:numRef>
              <c:f>さいたま市窓遮熱!$O$49:$O$60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87-46E2-B7E5-51BD0DA0B4D7}"/>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さいたま市窓断熱!$N$46</c:f>
              <c:strCache>
                <c:ptCount val="1"/>
                <c:pt idx="0">
                  <c:v>空調消費電力削減量</c:v>
                </c:pt>
              </c:strCache>
            </c:strRef>
          </c:tx>
          <c:invertIfNegative val="0"/>
          <c:val>
            <c:numRef>
              <c:f>さいたま市窓断熱!$N$49:$N$60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C7B-4508-BD8A-20D7D09D6FC3}"/>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さいたま市窓断熱!$O$46</c:f>
              <c:strCache>
                <c:ptCount val="1"/>
                <c:pt idx="0">
                  <c:v>CO２
削減量</c:v>
                </c:pt>
              </c:strCache>
            </c:strRef>
          </c:tx>
          <c:spPr>
            <a:solidFill>
              <a:srgbClr val="FFC000"/>
            </a:solidFill>
            <a:ln>
              <a:solidFill>
                <a:srgbClr val="FFC000"/>
              </a:solidFill>
            </a:ln>
          </c:spPr>
          <c:invertIfNegative val="0"/>
          <c:val>
            <c:numRef>
              <c:f>さいたま市窓断熱!$O$49:$O$60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151-4EAB-80D8-38240BD7A732}"/>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熊谷市!$N$3</c:f>
              <c:strCache>
                <c:ptCount val="1"/>
                <c:pt idx="0">
                  <c:v>空調消費電力削減量</c:v>
                </c:pt>
              </c:strCache>
            </c:strRef>
          </c:tx>
          <c:invertIfNegative val="0"/>
          <c:val>
            <c:numRef>
              <c:f>熊谷市!$N$6:$N$17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FDE-4F4E-B4AF-DDAF21591A62}"/>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熊谷市!$O$3</c:f>
              <c:strCache>
                <c:ptCount val="1"/>
                <c:pt idx="0">
                  <c:v>CO２
削減量</c:v>
                </c:pt>
              </c:strCache>
            </c:strRef>
          </c:tx>
          <c:spPr>
            <a:solidFill>
              <a:srgbClr val="FFC000"/>
            </a:solidFill>
            <a:ln>
              <a:solidFill>
                <a:srgbClr val="FFC000"/>
              </a:solidFill>
            </a:ln>
          </c:spPr>
          <c:invertIfNegative val="0"/>
          <c:val>
            <c:numRef>
              <c:f>熊谷市!$O$6:$O$17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A61-43B3-93C7-3883A9C0BD63}"/>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熊谷市屋根遮熱!$N$17</c:f>
              <c:strCache>
                <c:ptCount val="1"/>
                <c:pt idx="0">
                  <c:v>空調消費電力削減量</c:v>
                </c:pt>
              </c:strCache>
            </c:strRef>
          </c:tx>
          <c:invertIfNegative val="0"/>
          <c:val>
            <c:numRef>
              <c:f>熊谷市屋根遮熱!$N$20:$N$31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E0C-4717-A6D4-720A43B56DC6}"/>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熊谷市屋根遮熱!$O$17</c:f>
              <c:strCache>
                <c:ptCount val="1"/>
                <c:pt idx="0">
                  <c:v>CO２
削減量</c:v>
                </c:pt>
              </c:strCache>
            </c:strRef>
          </c:tx>
          <c:spPr>
            <a:solidFill>
              <a:srgbClr val="FFC000"/>
            </a:solidFill>
            <a:ln>
              <a:solidFill>
                <a:srgbClr val="FFC000"/>
              </a:solidFill>
            </a:ln>
          </c:spPr>
          <c:invertIfNegative val="0"/>
          <c:val>
            <c:numRef>
              <c:f>熊谷市屋根遮熱!$O$20:$O$31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E8-43CF-A36E-B557A44CD9CB}"/>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熊谷市屋根断熱!$N$17</c:f>
              <c:strCache>
                <c:ptCount val="1"/>
                <c:pt idx="0">
                  <c:v>空調消費電力削減量</c:v>
                </c:pt>
              </c:strCache>
            </c:strRef>
          </c:tx>
          <c:invertIfNegative val="0"/>
          <c:val>
            <c:numRef>
              <c:f>熊谷市屋根断熱!$N$20:$N$31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483-40F8-B187-EFFDC0BD9000}"/>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さいたま市!$O$3</c:f>
              <c:strCache>
                <c:ptCount val="1"/>
                <c:pt idx="0">
                  <c:v>CO２
削減量</c:v>
                </c:pt>
              </c:strCache>
            </c:strRef>
          </c:tx>
          <c:spPr>
            <a:solidFill>
              <a:srgbClr val="FFC000"/>
            </a:solidFill>
            <a:ln>
              <a:solidFill>
                <a:srgbClr val="FFC000"/>
              </a:solidFill>
            </a:ln>
          </c:spPr>
          <c:invertIfNegative val="0"/>
          <c:val>
            <c:numRef>
              <c:f>さいたま市!$O$6:$O$17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7C6-4DBE-BEB5-2AD56A82761E}"/>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熊谷市屋根断熱!$O$17</c:f>
              <c:strCache>
                <c:ptCount val="1"/>
                <c:pt idx="0">
                  <c:v>CO２
削減量</c:v>
                </c:pt>
              </c:strCache>
            </c:strRef>
          </c:tx>
          <c:spPr>
            <a:solidFill>
              <a:srgbClr val="FFC000"/>
            </a:solidFill>
            <a:ln>
              <a:solidFill>
                <a:srgbClr val="FFC000"/>
              </a:solidFill>
            </a:ln>
          </c:spPr>
          <c:invertIfNegative val="0"/>
          <c:val>
            <c:numRef>
              <c:f>熊谷市屋根断熱!$O$20:$O$31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3A-4576-9BED-29945B44C1F4}"/>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熊谷市外壁遮熱!$N$46</c:f>
              <c:strCache>
                <c:ptCount val="1"/>
                <c:pt idx="0">
                  <c:v>空調消費電力削減量</c:v>
                </c:pt>
              </c:strCache>
            </c:strRef>
          </c:tx>
          <c:invertIfNegative val="0"/>
          <c:val>
            <c:numRef>
              <c:f>熊谷市外壁遮熱!$N$49:$N$60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F9-463A-B209-122097D50F82}"/>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熊谷市外壁遮熱!$O$46</c:f>
              <c:strCache>
                <c:ptCount val="1"/>
                <c:pt idx="0">
                  <c:v>CO２
削減量</c:v>
                </c:pt>
              </c:strCache>
            </c:strRef>
          </c:tx>
          <c:spPr>
            <a:solidFill>
              <a:srgbClr val="FFC000"/>
            </a:solidFill>
            <a:ln>
              <a:solidFill>
                <a:srgbClr val="FFC000"/>
              </a:solidFill>
            </a:ln>
          </c:spPr>
          <c:invertIfNegative val="0"/>
          <c:val>
            <c:numRef>
              <c:f>熊谷市外壁遮熱!$O$49:$O$60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20D-42F7-93AC-7105A7CDD384}"/>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熊谷市外壁断熱!$N$46</c:f>
              <c:strCache>
                <c:ptCount val="1"/>
                <c:pt idx="0">
                  <c:v>空調消費電力削減量</c:v>
                </c:pt>
              </c:strCache>
            </c:strRef>
          </c:tx>
          <c:invertIfNegative val="0"/>
          <c:val>
            <c:numRef>
              <c:f>熊谷市外壁断熱!$N$49:$N$60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50C-4AD3-8A92-CCD00FD6F003}"/>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熊谷市外壁断熱!$O$46</c:f>
              <c:strCache>
                <c:ptCount val="1"/>
                <c:pt idx="0">
                  <c:v>CO２
削減量</c:v>
                </c:pt>
              </c:strCache>
            </c:strRef>
          </c:tx>
          <c:spPr>
            <a:solidFill>
              <a:srgbClr val="FFC000"/>
            </a:solidFill>
            <a:ln>
              <a:solidFill>
                <a:srgbClr val="FFC000"/>
              </a:solidFill>
            </a:ln>
          </c:spPr>
          <c:invertIfNegative val="0"/>
          <c:val>
            <c:numRef>
              <c:f>熊谷市外壁断熱!$O$49:$O$60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DD2-4932-B36F-53476E1FD921}"/>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熊谷市窓遮熱!$N$46</c:f>
              <c:strCache>
                <c:ptCount val="1"/>
                <c:pt idx="0">
                  <c:v>空調消費電力削減量</c:v>
                </c:pt>
              </c:strCache>
            </c:strRef>
          </c:tx>
          <c:invertIfNegative val="0"/>
          <c:val>
            <c:numRef>
              <c:f>熊谷市窓遮熱!$N$49:$N$60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E0C-411A-B12B-A1B2B5D285CF}"/>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熊谷市窓遮熱!$O$46</c:f>
              <c:strCache>
                <c:ptCount val="1"/>
                <c:pt idx="0">
                  <c:v>CO２
削減量</c:v>
                </c:pt>
              </c:strCache>
            </c:strRef>
          </c:tx>
          <c:spPr>
            <a:solidFill>
              <a:srgbClr val="FFC000"/>
            </a:solidFill>
            <a:ln>
              <a:solidFill>
                <a:srgbClr val="FFC000"/>
              </a:solidFill>
            </a:ln>
          </c:spPr>
          <c:invertIfNegative val="0"/>
          <c:val>
            <c:numRef>
              <c:f>熊谷市窓遮熱!$O$49:$O$60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8CF-4745-BE27-D3981E32116E}"/>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熊谷市窓断熱!$N$46</c:f>
              <c:strCache>
                <c:ptCount val="1"/>
                <c:pt idx="0">
                  <c:v>空調消費電力削減量</c:v>
                </c:pt>
              </c:strCache>
            </c:strRef>
          </c:tx>
          <c:invertIfNegative val="0"/>
          <c:val>
            <c:numRef>
              <c:f>熊谷市窓断熱!$N$49:$N$60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054-4303-A201-ABD333A0B8F3}"/>
            </c:ext>
          </c:extLst>
        </c:ser>
        <c:dLbls>
          <c:showLegendKey val="0"/>
          <c:showVal val="0"/>
          <c:showCatName val="0"/>
          <c:showSerName val="0"/>
          <c:showPercent val="0"/>
          <c:showBubbleSize val="0"/>
        </c:dLbls>
        <c:gapWidth val="150"/>
        <c:axId val="93499776"/>
        <c:axId val="93501312"/>
      </c:barChart>
      <c:catAx>
        <c:axId val="93499776"/>
        <c:scaling>
          <c:orientation val="minMax"/>
        </c:scaling>
        <c:delete val="0"/>
        <c:axPos val="b"/>
        <c:majorTickMark val="out"/>
        <c:minorTickMark val="none"/>
        <c:tickLblPos val="nextTo"/>
        <c:crossAx val="93501312"/>
        <c:crosses val="autoZero"/>
        <c:auto val="1"/>
        <c:lblAlgn val="ctr"/>
        <c:lblOffset val="100"/>
        <c:noMultiLvlLbl val="0"/>
      </c:catAx>
      <c:valAx>
        <c:axId val="93501312"/>
        <c:scaling>
          <c:orientation val="minMax"/>
        </c:scaling>
        <c:delete val="0"/>
        <c:axPos val="l"/>
        <c:majorGridlines/>
        <c:numFmt formatCode="#,##0_);[Red]\(#,##0\)" sourceLinked="1"/>
        <c:majorTickMark val="out"/>
        <c:minorTickMark val="none"/>
        <c:tickLblPos val="nextTo"/>
        <c:crossAx val="93499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熊谷市窓断熱!$O$46</c:f>
              <c:strCache>
                <c:ptCount val="1"/>
                <c:pt idx="0">
                  <c:v>CO２
削減量</c:v>
                </c:pt>
              </c:strCache>
            </c:strRef>
          </c:tx>
          <c:spPr>
            <a:solidFill>
              <a:srgbClr val="FFC000"/>
            </a:solidFill>
            <a:ln>
              <a:solidFill>
                <a:srgbClr val="FFC000"/>
              </a:solidFill>
            </a:ln>
          </c:spPr>
          <c:invertIfNegative val="0"/>
          <c:val>
            <c:numRef>
              <c:f>熊谷市窓断熱!$O$49:$O$60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1D3-4BBC-8419-58089F68788A}"/>
            </c:ext>
          </c:extLst>
        </c:ser>
        <c:dLbls>
          <c:showLegendKey val="0"/>
          <c:showVal val="0"/>
          <c:showCatName val="0"/>
          <c:showSerName val="0"/>
          <c:showPercent val="0"/>
          <c:showBubbleSize val="0"/>
        </c:dLbls>
        <c:gapWidth val="150"/>
        <c:axId val="93536256"/>
        <c:axId val="93537792"/>
      </c:barChart>
      <c:catAx>
        <c:axId val="93536256"/>
        <c:scaling>
          <c:orientation val="minMax"/>
        </c:scaling>
        <c:delete val="0"/>
        <c:axPos val="b"/>
        <c:majorTickMark val="out"/>
        <c:minorTickMark val="none"/>
        <c:tickLblPos val="nextTo"/>
        <c:crossAx val="93537792"/>
        <c:crosses val="autoZero"/>
        <c:auto val="1"/>
        <c:lblAlgn val="ctr"/>
        <c:lblOffset val="100"/>
        <c:noMultiLvlLbl val="0"/>
      </c:catAx>
      <c:valAx>
        <c:axId val="93537792"/>
        <c:scaling>
          <c:orientation val="minMax"/>
        </c:scaling>
        <c:delete val="0"/>
        <c:axPos val="l"/>
        <c:majorGridlines/>
        <c:numFmt formatCode="#,##0.0;[Red]\-#,##0.0" sourceLinked="0"/>
        <c:majorTickMark val="out"/>
        <c:minorTickMark val="none"/>
        <c:tickLblPos val="nextTo"/>
        <c:crossAx val="93536256"/>
        <c:crosses val="autoZero"/>
        <c:crossBetween val="between"/>
      </c:valAx>
    </c:plotArea>
    <c:legend>
      <c:legendPos val="r"/>
      <c:overlay val="0"/>
    </c:legend>
    <c:plotVisOnly val="1"/>
    <c:dispBlanksAs val="gap"/>
    <c:showDLblsOverMax val="0"/>
  </c:chart>
  <c:printSettings>
    <c:headerFooter/>
    <c:pageMargins b="0.15748031496062992" l="0.11811023622047245" r="0.11811023622047245" t="0.55118110236220474" header="0.31496062992125984" footer="0"/>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秩父市!$N$3</c:f>
              <c:strCache>
                <c:ptCount val="1"/>
                <c:pt idx="0">
                  <c:v>空調消費電力
削減量</c:v>
                </c:pt>
              </c:strCache>
            </c:strRef>
          </c:tx>
          <c:invertIfNegative val="0"/>
          <c:val>
            <c:numRef>
              <c:f>秩父市!$N$6:$N$17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61C-4316-8D3B-52938E3508F1}"/>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さいたま市屋根遮熱!$N$17</c:f>
              <c:strCache>
                <c:ptCount val="1"/>
                <c:pt idx="0">
                  <c:v>空調消費電力削減量</c:v>
                </c:pt>
              </c:strCache>
            </c:strRef>
          </c:tx>
          <c:invertIfNegative val="0"/>
          <c:val>
            <c:numRef>
              <c:f>さいたま市屋根遮熱!$N$20:$N$31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5F-4521-AF92-82183FD0584A}"/>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秩父市!$O$3</c:f>
              <c:strCache>
                <c:ptCount val="1"/>
                <c:pt idx="0">
                  <c:v>CO２
削減量</c:v>
                </c:pt>
              </c:strCache>
            </c:strRef>
          </c:tx>
          <c:spPr>
            <a:solidFill>
              <a:srgbClr val="FFC000"/>
            </a:solidFill>
            <a:ln>
              <a:solidFill>
                <a:srgbClr val="FFC000"/>
              </a:solidFill>
            </a:ln>
          </c:spPr>
          <c:invertIfNegative val="0"/>
          <c:val>
            <c:numRef>
              <c:f>秩父市!$O$6:$O$17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EBE-41D0-BFA1-C96AE37865D4}"/>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秩父市屋根遮熱!$N$17</c:f>
              <c:strCache>
                <c:ptCount val="1"/>
                <c:pt idx="0">
                  <c:v>空調消費電力
削減量</c:v>
                </c:pt>
              </c:strCache>
            </c:strRef>
          </c:tx>
          <c:invertIfNegative val="0"/>
          <c:val>
            <c:numRef>
              <c:f>秩父市屋根遮熱!$N$20:$N$31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08B-43F3-8CB1-190617926C7A}"/>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秩父市屋根遮熱!$O$17</c:f>
              <c:strCache>
                <c:ptCount val="1"/>
                <c:pt idx="0">
                  <c:v>CO２
削減量</c:v>
                </c:pt>
              </c:strCache>
            </c:strRef>
          </c:tx>
          <c:spPr>
            <a:solidFill>
              <a:srgbClr val="FFC000"/>
            </a:solidFill>
            <a:ln>
              <a:solidFill>
                <a:srgbClr val="FFC000"/>
              </a:solidFill>
            </a:ln>
          </c:spPr>
          <c:invertIfNegative val="0"/>
          <c:val>
            <c:numRef>
              <c:f>秩父市屋根遮熱!$O$20:$O$31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703-4DF2-A5F8-02CC22F0D2A8}"/>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秩父市屋根断熱!$N$17</c:f>
              <c:strCache>
                <c:ptCount val="1"/>
                <c:pt idx="0">
                  <c:v>空調消費電力
削減量</c:v>
                </c:pt>
              </c:strCache>
            </c:strRef>
          </c:tx>
          <c:invertIfNegative val="0"/>
          <c:val>
            <c:numRef>
              <c:f>秩父市屋根断熱!$N$20:$N$31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74D-4E89-AB11-8174DE8D8DF0}"/>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秩父市屋根断熱!$O$17</c:f>
              <c:strCache>
                <c:ptCount val="1"/>
                <c:pt idx="0">
                  <c:v>CO２
削減量</c:v>
                </c:pt>
              </c:strCache>
            </c:strRef>
          </c:tx>
          <c:spPr>
            <a:solidFill>
              <a:srgbClr val="FFC000"/>
            </a:solidFill>
            <a:ln>
              <a:solidFill>
                <a:srgbClr val="FFC000"/>
              </a:solidFill>
            </a:ln>
          </c:spPr>
          <c:invertIfNegative val="0"/>
          <c:val>
            <c:numRef>
              <c:f>秩父市屋根断熱!$O$20:$O$31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8B-4EAA-B882-E32B3BAB77D8}"/>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秩父市外壁遮熱!$N$46</c:f>
              <c:strCache>
                <c:ptCount val="1"/>
                <c:pt idx="0">
                  <c:v>空調消費電力
削減量</c:v>
                </c:pt>
              </c:strCache>
            </c:strRef>
          </c:tx>
          <c:invertIfNegative val="0"/>
          <c:val>
            <c:numRef>
              <c:f>秩父市外壁遮熱!$N$49:$N$60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047-40CF-A2DF-6E9F72D73EAE}"/>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秩父市外壁遮熱!$O$46</c:f>
              <c:strCache>
                <c:ptCount val="1"/>
                <c:pt idx="0">
                  <c:v>CO２
削減量</c:v>
                </c:pt>
              </c:strCache>
            </c:strRef>
          </c:tx>
          <c:spPr>
            <a:solidFill>
              <a:srgbClr val="FFC000"/>
            </a:solidFill>
            <a:ln>
              <a:solidFill>
                <a:srgbClr val="FFC000"/>
              </a:solidFill>
            </a:ln>
          </c:spPr>
          <c:invertIfNegative val="0"/>
          <c:val>
            <c:numRef>
              <c:f>秩父市外壁遮熱!$O$49:$O$60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AF-4553-B4E2-08345D30A110}"/>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秩父市外壁断熱!$N$46</c:f>
              <c:strCache>
                <c:ptCount val="1"/>
                <c:pt idx="0">
                  <c:v>空調消費電力
削減量</c:v>
                </c:pt>
              </c:strCache>
            </c:strRef>
          </c:tx>
          <c:invertIfNegative val="0"/>
          <c:val>
            <c:numRef>
              <c:f>秩父市外壁断熱!$N$49:$N$60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BB8-4732-B2EE-7FD25DF693B8}"/>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秩父市外壁断熱!$O$46</c:f>
              <c:strCache>
                <c:ptCount val="1"/>
                <c:pt idx="0">
                  <c:v>CO２
削減量</c:v>
                </c:pt>
              </c:strCache>
            </c:strRef>
          </c:tx>
          <c:spPr>
            <a:solidFill>
              <a:srgbClr val="FFC000"/>
            </a:solidFill>
            <a:ln>
              <a:solidFill>
                <a:srgbClr val="FFC000"/>
              </a:solidFill>
            </a:ln>
          </c:spPr>
          <c:invertIfNegative val="0"/>
          <c:val>
            <c:numRef>
              <c:f>秩父市外壁断熱!$O$49:$O$60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248-424E-88D8-B34E01FFB014}"/>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秩父市窓遮熱!$N$46</c:f>
              <c:strCache>
                <c:ptCount val="1"/>
                <c:pt idx="0">
                  <c:v>空調消費電力
削減量</c:v>
                </c:pt>
              </c:strCache>
            </c:strRef>
          </c:tx>
          <c:invertIfNegative val="0"/>
          <c:val>
            <c:numRef>
              <c:f>秩父市窓遮熱!$N$49:$N$60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325-4439-BCBF-32DB5BC8108E}"/>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さいたま市屋根遮熱!$O$17</c:f>
              <c:strCache>
                <c:ptCount val="1"/>
                <c:pt idx="0">
                  <c:v>CO２
削減量</c:v>
                </c:pt>
              </c:strCache>
            </c:strRef>
          </c:tx>
          <c:spPr>
            <a:solidFill>
              <a:srgbClr val="FFC000"/>
            </a:solidFill>
            <a:ln>
              <a:solidFill>
                <a:srgbClr val="FFC000"/>
              </a:solidFill>
            </a:ln>
          </c:spPr>
          <c:invertIfNegative val="0"/>
          <c:val>
            <c:numRef>
              <c:f>さいたま市屋根遮熱!$O$20:$O$31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77-45DE-B51E-312BC08A7252}"/>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秩父市窓遮熱!$O$46</c:f>
              <c:strCache>
                <c:ptCount val="1"/>
                <c:pt idx="0">
                  <c:v>CO２
削減量</c:v>
                </c:pt>
              </c:strCache>
            </c:strRef>
          </c:tx>
          <c:spPr>
            <a:solidFill>
              <a:srgbClr val="FFC000"/>
            </a:solidFill>
            <a:ln>
              <a:solidFill>
                <a:srgbClr val="FFC000"/>
              </a:solidFill>
            </a:ln>
          </c:spPr>
          <c:invertIfNegative val="0"/>
          <c:val>
            <c:numRef>
              <c:f>秩父市窓遮熱!$O$49:$O$60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B9F-430E-A634-8366F0B7877C}"/>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ja-JP" altLang="en-US" sz="1200"/>
              <a:t>空調消費電力削減量</a:t>
            </a:r>
          </a:p>
        </c:rich>
      </c:tx>
      <c:overlay val="0"/>
    </c:title>
    <c:autoTitleDeleted val="0"/>
    <c:plotArea>
      <c:layout/>
      <c:barChart>
        <c:barDir val="col"/>
        <c:grouping val="clustered"/>
        <c:varyColors val="0"/>
        <c:ser>
          <c:idx val="0"/>
          <c:order val="0"/>
          <c:tx>
            <c:strRef>
              <c:f>秩父市窓断熱!$N$46</c:f>
              <c:strCache>
                <c:ptCount val="1"/>
                <c:pt idx="0">
                  <c:v>空調消費電力
削減量</c:v>
                </c:pt>
              </c:strCache>
            </c:strRef>
          </c:tx>
          <c:invertIfNegative val="0"/>
          <c:val>
            <c:numRef>
              <c:f>秩父市窓断熱!$N$49:$N$60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3F5-4FEF-858F-2CC100F04684}"/>
            </c:ext>
          </c:extLst>
        </c:ser>
        <c:dLbls>
          <c:showLegendKey val="0"/>
          <c:showVal val="0"/>
          <c:showCatName val="0"/>
          <c:showSerName val="0"/>
          <c:showPercent val="0"/>
          <c:showBubbleSize val="0"/>
        </c:dLbls>
        <c:gapWidth val="150"/>
        <c:axId val="93588480"/>
        <c:axId val="93590272"/>
      </c:barChart>
      <c:catAx>
        <c:axId val="93588480"/>
        <c:scaling>
          <c:orientation val="minMax"/>
        </c:scaling>
        <c:delete val="0"/>
        <c:axPos val="b"/>
        <c:majorTickMark val="out"/>
        <c:minorTickMark val="none"/>
        <c:tickLblPos val="nextTo"/>
        <c:crossAx val="93590272"/>
        <c:crosses val="autoZero"/>
        <c:auto val="1"/>
        <c:lblAlgn val="ctr"/>
        <c:lblOffset val="100"/>
        <c:noMultiLvlLbl val="0"/>
      </c:catAx>
      <c:valAx>
        <c:axId val="93590272"/>
        <c:scaling>
          <c:orientation val="minMax"/>
        </c:scaling>
        <c:delete val="0"/>
        <c:axPos val="l"/>
        <c:majorGridlines/>
        <c:numFmt formatCode="#,##0_);[Red]\(#,##0\)" sourceLinked="1"/>
        <c:majorTickMark val="out"/>
        <c:minorTickMark val="none"/>
        <c:tickLblPos val="nextTo"/>
        <c:crossAx val="93588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秩父市窓断熱!$O$46</c:f>
              <c:strCache>
                <c:ptCount val="1"/>
                <c:pt idx="0">
                  <c:v>CO２
削減量</c:v>
                </c:pt>
              </c:strCache>
            </c:strRef>
          </c:tx>
          <c:spPr>
            <a:solidFill>
              <a:srgbClr val="FFC000"/>
            </a:solidFill>
            <a:ln>
              <a:solidFill>
                <a:srgbClr val="FFC000"/>
              </a:solidFill>
            </a:ln>
          </c:spPr>
          <c:invertIfNegative val="0"/>
          <c:val>
            <c:numRef>
              <c:f>秩父市窓断熱!$O$49:$O$60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DF4-40D5-9E8E-4BFC308B4F9C}"/>
            </c:ext>
          </c:extLst>
        </c:ser>
        <c:dLbls>
          <c:showLegendKey val="0"/>
          <c:showVal val="0"/>
          <c:showCatName val="0"/>
          <c:showSerName val="0"/>
          <c:showPercent val="0"/>
          <c:showBubbleSize val="0"/>
        </c:dLbls>
        <c:gapWidth val="150"/>
        <c:axId val="93623424"/>
        <c:axId val="93624960"/>
      </c:barChart>
      <c:catAx>
        <c:axId val="93623424"/>
        <c:scaling>
          <c:orientation val="minMax"/>
        </c:scaling>
        <c:delete val="0"/>
        <c:axPos val="b"/>
        <c:majorTickMark val="out"/>
        <c:minorTickMark val="none"/>
        <c:tickLblPos val="nextTo"/>
        <c:crossAx val="93624960"/>
        <c:crosses val="autoZero"/>
        <c:auto val="1"/>
        <c:lblAlgn val="ctr"/>
        <c:lblOffset val="100"/>
        <c:noMultiLvlLbl val="0"/>
      </c:catAx>
      <c:valAx>
        <c:axId val="93624960"/>
        <c:scaling>
          <c:orientation val="minMax"/>
        </c:scaling>
        <c:delete val="0"/>
        <c:axPos val="l"/>
        <c:majorGridlines/>
        <c:numFmt formatCode="#,##0.0;[Red]\-#,##0.0" sourceLinked="0"/>
        <c:majorTickMark val="out"/>
        <c:minorTickMark val="none"/>
        <c:tickLblPos val="nextTo"/>
        <c:crossAx val="93623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気象庁の直接日射量</a:t>
            </a:r>
          </a:p>
        </c:rich>
      </c:tx>
      <c:overlay val="0"/>
    </c:title>
    <c:autoTitleDeleted val="0"/>
    <c:plotArea>
      <c:layout/>
      <c:lineChart>
        <c:grouping val="standard"/>
        <c:varyColors val="0"/>
        <c:ser>
          <c:idx val="1"/>
          <c:order val="0"/>
          <c:tx>
            <c:strRef>
              <c:f>【根拠】日射係数!$C$22</c:f>
              <c:strCache>
                <c:ptCount val="1"/>
                <c:pt idx="0">
                  <c:v>直接日射量</c:v>
                </c:pt>
              </c:strCache>
            </c:strRef>
          </c:tx>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【根拠】日射係数!$B$23:$B$28</c:f>
              <c:strCache>
                <c:ptCount val="6"/>
                <c:pt idx="0">
                  <c:v>５月</c:v>
                </c:pt>
                <c:pt idx="1">
                  <c:v>６月</c:v>
                </c:pt>
                <c:pt idx="2">
                  <c:v>７月</c:v>
                </c:pt>
                <c:pt idx="3">
                  <c:v>８月</c:v>
                </c:pt>
                <c:pt idx="4">
                  <c:v>９月</c:v>
                </c:pt>
                <c:pt idx="5">
                  <c:v>１０月</c:v>
                </c:pt>
              </c:strCache>
            </c:strRef>
          </c:cat>
          <c:val>
            <c:numRef>
              <c:f>【根拠】日射係数!$C$23:$C$28</c:f>
              <c:numCache>
                <c:formatCode>#,##0_);[Red]\(#,##0\)</c:formatCode>
                <c:ptCount val="6"/>
                <c:pt idx="0">
                  <c:v>39880</c:v>
                </c:pt>
                <c:pt idx="1">
                  <c:v>36235</c:v>
                </c:pt>
                <c:pt idx="2">
                  <c:v>41767</c:v>
                </c:pt>
                <c:pt idx="3">
                  <c:v>43508</c:v>
                </c:pt>
                <c:pt idx="4">
                  <c:v>30106</c:v>
                </c:pt>
                <c:pt idx="5">
                  <c:v>32178</c:v>
                </c:pt>
              </c:numCache>
            </c:numRef>
          </c:val>
          <c:smooth val="0"/>
          <c:extLst>
            <c:ext xmlns:c16="http://schemas.microsoft.com/office/drawing/2014/chart" uri="{C3380CC4-5D6E-409C-BE32-E72D297353CC}">
              <c16:uniqueId val="{00000000-5146-40D8-83C5-C39B7DEE4033}"/>
            </c:ext>
          </c:extLst>
        </c:ser>
        <c:dLbls>
          <c:showLegendKey val="0"/>
          <c:showVal val="0"/>
          <c:showCatName val="0"/>
          <c:showSerName val="0"/>
          <c:showPercent val="0"/>
          <c:showBubbleSize val="0"/>
        </c:dLbls>
        <c:marker val="1"/>
        <c:smooth val="0"/>
        <c:axId val="93704960"/>
        <c:axId val="93706496"/>
      </c:lineChart>
      <c:catAx>
        <c:axId val="93704960"/>
        <c:scaling>
          <c:orientation val="minMax"/>
        </c:scaling>
        <c:delete val="0"/>
        <c:axPos val="b"/>
        <c:numFmt formatCode="General" sourceLinked="0"/>
        <c:majorTickMark val="none"/>
        <c:minorTickMark val="none"/>
        <c:tickLblPos val="nextTo"/>
        <c:crossAx val="93706496"/>
        <c:crosses val="autoZero"/>
        <c:auto val="1"/>
        <c:lblAlgn val="ctr"/>
        <c:lblOffset val="100"/>
        <c:noMultiLvlLbl val="0"/>
      </c:catAx>
      <c:valAx>
        <c:axId val="93706496"/>
        <c:scaling>
          <c:orientation val="minMax"/>
        </c:scaling>
        <c:delete val="0"/>
        <c:axPos val="l"/>
        <c:majorGridlines/>
        <c:numFmt formatCode="#,##0_);[Red]\(#,##0\)" sourceLinked="1"/>
        <c:majorTickMark val="none"/>
        <c:minorTickMark val="none"/>
        <c:tickLblPos val="nextTo"/>
        <c:spPr>
          <a:ln w="9525">
            <a:noFill/>
          </a:ln>
        </c:spPr>
        <c:crossAx val="937049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【根拠】日射係数!$C$5</c:f>
              <c:strCache>
                <c:ptCount val="1"/>
                <c:pt idx="0">
                  <c:v>2014</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【根拠】日射係数!$C$6:$C$11</c:f>
              <c:numCache>
                <c:formatCode>#,##0_);[Red]\(#,##0\)</c:formatCode>
                <c:ptCount val="6"/>
                <c:pt idx="0">
                  <c:v>49885</c:v>
                </c:pt>
                <c:pt idx="1">
                  <c:v>29699</c:v>
                </c:pt>
                <c:pt idx="2">
                  <c:v>36340</c:v>
                </c:pt>
                <c:pt idx="3">
                  <c:v>36126</c:v>
                </c:pt>
                <c:pt idx="4">
                  <c:v>35636</c:v>
                </c:pt>
                <c:pt idx="5">
                  <c:v>32001</c:v>
                </c:pt>
              </c:numCache>
            </c:numRef>
          </c:val>
          <c:smooth val="0"/>
          <c:extLst>
            <c:ext xmlns:c16="http://schemas.microsoft.com/office/drawing/2014/chart" uri="{C3380CC4-5D6E-409C-BE32-E72D297353CC}">
              <c16:uniqueId val="{00000000-A022-497A-8FE3-3F6A1428FA34}"/>
            </c:ext>
          </c:extLst>
        </c:ser>
        <c:ser>
          <c:idx val="1"/>
          <c:order val="1"/>
          <c:tx>
            <c:strRef>
              <c:f>【根拠】日射係数!$D$5</c:f>
              <c:strCache>
                <c:ptCount val="1"/>
                <c:pt idx="0">
                  <c:v>2015</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【根拠】日射係数!$D$6:$D$11</c:f>
              <c:numCache>
                <c:formatCode>#,##0_);[Red]\(#,##0\)</c:formatCode>
                <c:ptCount val="6"/>
                <c:pt idx="0">
                  <c:v>53825</c:v>
                </c:pt>
                <c:pt idx="1">
                  <c:v>25859</c:v>
                </c:pt>
                <c:pt idx="2">
                  <c:v>38761</c:v>
                </c:pt>
                <c:pt idx="3">
                  <c:v>27789</c:v>
                </c:pt>
                <c:pt idx="4">
                  <c:v>24140</c:v>
                </c:pt>
                <c:pt idx="5">
                  <c:v>43534</c:v>
                </c:pt>
              </c:numCache>
            </c:numRef>
          </c:val>
          <c:smooth val="0"/>
          <c:extLst>
            <c:ext xmlns:c16="http://schemas.microsoft.com/office/drawing/2014/chart" uri="{C3380CC4-5D6E-409C-BE32-E72D297353CC}">
              <c16:uniqueId val="{00000001-A022-497A-8FE3-3F6A1428FA34}"/>
            </c:ext>
          </c:extLst>
        </c:ser>
        <c:ser>
          <c:idx val="2"/>
          <c:order val="2"/>
          <c:tx>
            <c:strRef>
              <c:f>【根拠】日射係数!$E$5</c:f>
              <c:strCache>
                <c:ptCount val="1"/>
                <c:pt idx="0">
                  <c:v>2016</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【根拠】日射係数!$E$6:$E$11</c:f>
              <c:numCache>
                <c:formatCode>#,##0_);[Red]\(#,##0\)</c:formatCode>
                <c:ptCount val="6"/>
                <c:pt idx="0">
                  <c:v>42756</c:v>
                </c:pt>
                <c:pt idx="1">
                  <c:v>28881</c:v>
                </c:pt>
                <c:pt idx="2">
                  <c:v>29001</c:v>
                </c:pt>
                <c:pt idx="3">
                  <c:v>35968</c:v>
                </c:pt>
                <c:pt idx="4">
                  <c:v>18828</c:v>
                </c:pt>
                <c:pt idx="5">
                  <c:v>29891</c:v>
                </c:pt>
              </c:numCache>
            </c:numRef>
          </c:val>
          <c:smooth val="0"/>
          <c:extLst>
            <c:ext xmlns:c16="http://schemas.microsoft.com/office/drawing/2014/chart" uri="{C3380CC4-5D6E-409C-BE32-E72D297353CC}">
              <c16:uniqueId val="{00000002-A022-497A-8FE3-3F6A1428FA34}"/>
            </c:ext>
          </c:extLst>
        </c:ser>
        <c:ser>
          <c:idx val="3"/>
          <c:order val="3"/>
          <c:tx>
            <c:strRef>
              <c:f>【根拠】日射係数!$F$5</c:f>
              <c:strCache>
                <c:ptCount val="1"/>
                <c:pt idx="0">
                  <c:v>2017</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【根拠】日射係数!$F$6:$F$11</c:f>
              <c:numCache>
                <c:formatCode>#,##0_);[Red]\(#,##0\)</c:formatCode>
                <c:ptCount val="6"/>
                <c:pt idx="0">
                  <c:v>41675</c:v>
                </c:pt>
                <c:pt idx="1">
                  <c:v>35220</c:v>
                </c:pt>
                <c:pt idx="2">
                  <c:v>36488</c:v>
                </c:pt>
                <c:pt idx="3">
                  <c:v>16041</c:v>
                </c:pt>
                <c:pt idx="4">
                  <c:v>30106</c:v>
                </c:pt>
                <c:pt idx="5">
                  <c:v>23587</c:v>
                </c:pt>
              </c:numCache>
            </c:numRef>
          </c:val>
          <c:smooth val="0"/>
          <c:extLst>
            <c:ext xmlns:c16="http://schemas.microsoft.com/office/drawing/2014/chart" uri="{C3380CC4-5D6E-409C-BE32-E72D297353CC}">
              <c16:uniqueId val="{00000003-A022-497A-8FE3-3F6A1428FA34}"/>
            </c:ext>
          </c:extLst>
        </c:ser>
        <c:ser>
          <c:idx val="4"/>
          <c:order val="4"/>
          <c:tx>
            <c:strRef>
              <c:f>【根拠】日射係数!$G$5</c:f>
              <c:strCache>
                <c:ptCount val="1"/>
                <c:pt idx="0">
                  <c:v>2018</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【根拠】日射係数!$G$6:$G$11</c:f>
              <c:numCache>
                <c:formatCode>#,##0_);[Red]\(#,##0\)</c:formatCode>
                <c:ptCount val="6"/>
                <c:pt idx="0">
                  <c:v>39880</c:v>
                </c:pt>
                <c:pt idx="1">
                  <c:v>36235</c:v>
                </c:pt>
                <c:pt idx="2">
                  <c:v>41767</c:v>
                </c:pt>
                <c:pt idx="3">
                  <c:v>43508</c:v>
                </c:pt>
                <c:pt idx="4">
                  <c:v>18239</c:v>
                </c:pt>
                <c:pt idx="5">
                  <c:v>32178</c:v>
                </c:pt>
              </c:numCache>
            </c:numRef>
          </c:val>
          <c:smooth val="0"/>
          <c:extLst>
            <c:ext xmlns:c16="http://schemas.microsoft.com/office/drawing/2014/chart" uri="{C3380CC4-5D6E-409C-BE32-E72D297353CC}">
              <c16:uniqueId val="{00000004-A022-497A-8FE3-3F6A1428FA34}"/>
            </c:ext>
          </c:extLst>
        </c:ser>
        <c:ser>
          <c:idx val="5"/>
          <c:order val="5"/>
          <c:tx>
            <c:strRef>
              <c:f>【根拠】日射係数!$I$5</c:f>
              <c:strCache>
                <c:ptCount val="1"/>
                <c:pt idx="0">
                  <c:v>平均値</c:v>
                </c:pt>
              </c:strCache>
            </c:strRef>
          </c:tx>
          <c:cat>
            <c:strRef>
              <c:f>【根拠】日射係数!$B$6:$B$11</c:f>
              <c:strCache>
                <c:ptCount val="6"/>
                <c:pt idx="0">
                  <c:v>５月</c:v>
                </c:pt>
                <c:pt idx="1">
                  <c:v>６月</c:v>
                </c:pt>
                <c:pt idx="2">
                  <c:v>７月</c:v>
                </c:pt>
                <c:pt idx="3">
                  <c:v>８月</c:v>
                </c:pt>
                <c:pt idx="4">
                  <c:v>９月</c:v>
                </c:pt>
                <c:pt idx="5">
                  <c:v>１０月</c:v>
                </c:pt>
              </c:strCache>
            </c:strRef>
          </c:cat>
          <c:val>
            <c:numRef>
              <c:f>【根拠】日射係数!$I$6:$I$11</c:f>
              <c:numCache>
                <c:formatCode>#,##0_);[Red]\(#,##0\)</c:formatCode>
                <c:ptCount val="6"/>
                <c:pt idx="0">
                  <c:v>45604.2</c:v>
                </c:pt>
                <c:pt idx="1">
                  <c:v>31178.799999999999</c:v>
                </c:pt>
                <c:pt idx="2">
                  <c:v>36471.4</c:v>
                </c:pt>
                <c:pt idx="3">
                  <c:v>31886.400000000001</c:v>
                </c:pt>
                <c:pt idx="4">
                  <c:v>25389.8</c:v>
                </c:pt>
                <c:pt idx="5">
                  <c:v>32238.2</c:v>
                </c:pt>
              </c:numCache>
            </c:numRef>
          </c:val>
          <c:smooth val="0"/>
          <c:extLst>
            <c:ext xmlns:c16="http://schemas.microsoft.com/office/drawing/2014/chart" uri="{C3380CC4-5D6E-409C-BE32-E72D297353CC}">
              <c16:uniqueId val="{00000005-A022-497A-8FE3-3F6A1428FA34}"/>
            </c:ext>
          </c:extLst>
        </c:ser>
        <c:dLbls>
          <c:showLegendKey val="0"/>
          <c:showVal val="0"/>
          <c:showCatName val="0"/>
          <c:showSerName val="0"/>
          <c:showPercent val="0"/>
          <c:showBubbleSize val="0"/>
        </c:dLbls>
        <c:marker val="1"/>
        <c:smooth val="0"/>
        <c:axId val="95978240"/>
        <c:axId val="95979776"/>
      </c:lineChart>
      <c:catAx>
        <c:axId val="95978240"/>
        <c:scaling>
          <c:orientation val="minMax"/>
        </c:scaling>
        <c:delete val="0"/>
        <c:axPos val="b"/>
        <c:numFmt formatCode="General" sourceLinked="0"/>
        <c:majorTickMark val="none"/>
        <c:minorTickMark val="none"/>
        <c:tickLblPos val="nextTo"/>
        <c:crossAx val="95979776"/>
        <c:crosses val="autoZero"/>
        <c:auto val="1"/>
        <c:lblAlgn val="ctr"/>
        <c:lblOffset val="100"/>
        <c:noMultiLvlLbl val="0"/>
      </c:catAx>
      <c:valAx>
        <c:axId val="95979776"/>
        <c:scaling>
          <c:orientation val="minMax"/>
        </c:scaling>
        <c:delete val="0"/>
        <c:axPos val="l"/>
        <c:majorGridlines/>
        <c:title>
          <c:tx>
            <c:rich>
              <a:bodyPr/>
              <a:lstStyle/>
              <a:p>
                <a:pPr>
                  <a:defRPr/>
                </a:pPr>
                <a:r>
                  <a:rPr lang="ja-JP" altLang="en-US"/>
                  <a:t>直接日射量</a:t>
                </a:r>
              </a:p>
            </c:rich>
          </c:tx>
          <c:overlay val="0"/>
        </c:title>
        <c:numFmt formatCode="#,##0_);[Red]\(#,##0\)" sourceLinked="1"/>
        <c:majorTickMark val="none"/>
        <c:minorTickMark val="none"/>
        <c:tickLblPos val="nextTo"/>
        <c:crossAx val="959782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さいたま市屋根断熱!$N$17</c:f>
              <c:strCache>
                <c:ptCount val="1"/>
                <c:pt idx="0">
                  <c:v>空調消費電力削減量</c:v>
                </c:pt>
              </c:strCache>
            </c:strRef>
          </c:tx>
          <c:invertIfNegative val="0"/>
          <c:val>
            <c:numRef>
              <c:f>さいたま市屋根断熱!$N$20:$N$31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3BD-4D04-9D9D-2EB0F9068203}"/>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さいたま市屋根断熱!$O$17</c:f>
              <c:strCache>
                <c:ptCount val="1"/>
                <c:pt idx="0">
                  <c:v>CO２
削減量</c:v>
                </c:pt>
              </c:strCache>
            </c:strRef>
          </c:tx>
          <c:spPr>
            <a:solidFill>
              <a:srgbClr val="FFC000"/>
            </a:solidFill>
            <a:ln>
              <a:solidFill>
                <a:srgbClr val="FFC000"/>
              </a:solidFill>
            </a:ln>
          </c:spPr>
          <c:invertIfNegative val="0"/>
          <c:val>
            <c:numRef>
              <c:f>さいたま市屋根断熱!$O$20:$O$31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C4C-4BF6-97EA-E8B994197C01}"/>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さいたま市外壁遮熱!$N$46</c:f>
              <c:strCache>
                <c:ptCount val="1"/>
                <c:pt idx="0">
                  <c:v>空調消費電力削減量</c:v>
                </c:pt>
              </c:strCache>
            </c:strRef>
          </c:tx>
          <c:invertIfNegative val="0"/>
          <c:val>
            <c:numRef>
              <c:f>さいたま市外壁遮熱!$N$49:$N$60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E1A-4F83-9026-CC93F578E3AA}"/>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altLang="ja-JP" sz="1200"/>
              <a:t>CO2</a:t>
            </a:r>
            <a:r>
              <a:rPr lang="ja-JP" altLang="en-US" sz="1200"/>
              <a:t>削減量</a:t>
            </a:r>
          </a:p>
        </c:rich>
      </c:tx>
      <c:overlay val="0"/>
    </c:title>
    <c:autoTitleDeleted val="0"/>
    <c:plotArea>
      <c:layout/>
      <c:barChart>
        <c:barDir val="col"/>
        <c:grouping val="clustered"/>
        <c:varyColors val="0"/>
        <c:ser>
          <c:idx val="0"/>
          <c:order val="0"/>
          <c:tx>
            <c:strRef>
              <c:f>さいたま市外壁遮熱!$O$46</c:f>
              <c:strCache>
                <c:ptCount val="1"/>
                <c:pt idx="0">
                  <c:v>CO２
削減量</c:v>
                </c:pt>
              </c:strCache>
            </c:strRef>
          </c:tx>
          <c:spPr>
            <a:solidFill>
              <a:srgbClr val="FFC000"/>
            </a:solidFill>
            <a:ln>
              <a:solidFill>
                <a:srgbClr val="FFC000"/>
              </a:solidFill>
            </a:ln>
          </c:spPr>
          <c:invertIfNegative val="0"/>
          <c:val>
            <c:numRef>
              <c:f>さいたま市外壁遮熱!$O$49:$O$60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734-4458-8930-78168AF074B1}"/>
            </c:ext>
          </c:extLst>
        </c:ser>
        <c:dLbls>
          <c:showLegendKey val="0"/>
          <c:showVal val="0"/>
          <c:showCatName val="0"/>
          <c:showSerName val="0"/>
          <c:showPercent val="0"/>
          <c:showBubbleSize val="0"/>
        </c:dLbls>
        <c:gapWidth val="150"/>
        <c:axId val="94270976"/>
        <c:axId val="94272512"/>
      </c:barChart>
      <c:catAx>
        <c:axId val="94270976"/>
        <c:scaling>
          <c:orientation val="minMax"/>
        </c:scaling>
        <c:delete val="0"/>
        <c:axPos val="b"/>
        <c:majorTickMark val="out"/>
        <c:minorTickMark val="none"/>
        <c:tickLblPos val="nextTo"/>
        <c:crossAx val="94272512"/>
        <c:crosses val="autoZero"/>
        <c:auto val="1"/>
        <c:lblAlgn val="ctr"/>
        <c:lblOffset val="100"/>
        <c:noMultiLvlLbl val="0"/>
      </c:catAx>
      <c:valAx>
        <c:axId val="94272512"/>
        <c:scaling>
          <c:orientation val="minMax"/>
        </c:scaling>
        <c:delete val="0"/>
        <c:axPos val="l"/>
        <c:majorGridlines/>
        <c:numFmt formatCode="#,##0.0_);[Red]\(#,##0.0\)" sourceLinked="0"/>
        <c:majorTickMark val="out"/>
        <c:minorTickMark val="none"/>
        <c:tickLblPos val="nextTo"/>
        <c:crossAx val="942709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a:pPr>
          <a:endParaRPr lang="ja-JP"/>
        </a:p>
      </c:txPr>
    </c:title>
    <c:autoTitleDeleted val="0"/>
    <c:plotArea>
      <c:layout/>
      <c:barChart>
        <c:barDir val="col"/>
        <c:grouping val="clustered"/>
        <c:varyColors val="0"/>
        <c:ser>
          <c:idx val="0"/>
          <c:order val="0"/>
          <c:tx>
            <c:strRef>
              <c:f>さいたま市外壁断熱!$N$46</c:f>
              <c:strCache>
                <c:ptCount val="1"/>
                <c:pt idx="0">
                  <c:v>空調消費電力削減量</c:v>
                </c:pt>
              </c:strCache>
            </c:strRef>
          </c:tx>
          <c:invertIfNegative val="0"/>
          <c:val>
            <c:numRef>
              <c:f>さいたま市外壁断熱!$N$49:$N$60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BF-4591-B18D-A2550B71AD06}"/>
            </c:ext>
          </c:extLst>
        </c:ser>
        <c:dLbls>
          <c:showLegendKey val="0"/>
          <c:showVal val="0"/>
          <c:showCatName val="0"/>
          <c:showSerName val="0"/>
          <c:showPercent val="0"/>
          <c:showBubbleSize val="0"/>
        </c:dLbls>
        <c:gapWidth val="150"/>
        <c:axId val="86392192"/>
        <c:axId val="86430848"/>
      </c:barChart>
      <c:catAx>
        <c:axId val="86392192"/>
        <c:scaling>
          <c:orientation val="minMax"/>
        </c:scaling>
        <c:delete val="0"/>
        <c:axPos val="b"/>
        <c:majorTickMark val="out"/>
        <c:minorTickMark val="none"/>
        <c:tickLblPos val="nextTo"/>
        <c:crossAx val="86430848"/>
        <c:crosses val="autoZero"/>
        <c:auto val="1"/>
        <c:lblAlgn val="ctr"/>
        <c:lblOffset val="100"/>
        <c:noMultiLvlLbl val="0"/>
      </c:catAx>
      <c:valAx>
        <c:axId val="86430848"/>
        <c:scaling>
          <c:orientation val="minMax"/>
        </c:scaling>
        <c:delete val="0"/>
        <c:axPos val="l"/>
        <c:majorGridlines/>
        <c:numFmt formatCode="#,##0_);[Red]\(#,##0\)" sourceLinked="1"/>
        <c:majorTickMark val="out"/>
        <c:minorTickMark val="none"/>
        <c:tickLblPos val="nextTo"/>
        <c:crossAx val="863921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CheckBox" fmlaLink="$O$43" lockText="1" noThreeD="1"/>
</file>

<file path=xl/ctrlProps/ctrlProp2.xml><?xml version="1.0" encoding="utf-8"?>
<formControlPr xmlns="http://schemas.microsoft.com/office/spreadsheetml/2009/9/main" objectType="CheckBox" fmlaLink="$O$44" lockText="1" noThreeD="1"/>
</file>

<file path=xl/ctrlProps/ctrlProp3.xml><?xml version="1.0" encoding="utf-8"?>
<formControlPr xmlns="http://schemas.microsoft.com/office/spreadsheetml/2009/9/main" objectType="CheckBox" fmlaLink="$O$45" lockText="1" noThreeD="1"/>
</file>

<file path=xl/ctrlProps/ctrlProp4.xml><?xml version="1.0" encoding="utf-8"?>
<formControlPr xmlns="http://schemas.microsoft.com/office/spreadsheetml/2009/9/main" objectType="CheckBox" fmlaLink="$O$46" lockText="1" noThreeD="1"/>
</file>

<file path=xl/ctrlProps/ctrlProp5.xml><?xml version="1.0" encoding="utf-8"?>
<formControlPr xmlns="http://schemas.microsoft.com/office/spreadsheetml/2009/9/main" objectType="CheckBox" fmlaLink="$O$41" lockText="1" noThreeD="1"/>
</file>

<file path=xl/ctrlProps/ctrlProp6.xml><?xml version="1.0" encoding="utf-8"?>
<formControlPr xmlns="http://schemas.microsoft.com/office/spreadsheetml/2009/9/main" objectType="CheckBox" fmlaLink="$O$42"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12504;&#12523;&#12503;!A5"/><Relationship Id="rId7"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9.png"/><Relationship Id="rId5" Type="http://schemas.openxmlformats.org/officeDocument/2006/relationships/hyperlink" Target="#&#20837;&#21147;&#20516;&#12398;&#31777;&#26131;&#35336;&#31639;&#12471;&#12540;&#12488;!A1"/><Relationship Id="rId4" Type="http://schemas.openxmlformats.org/officeDocument/2006/relationships/hyperlink" Target="#&#12504;&#12523;&#12503;!A15"/><Relationship Id="rId9"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hyperlink" Target="#&#20837;&#21147;!A69"/><Relationship Id="rId4" Type="http://schemas.openxmlformats.org/officeDocument/2006/relationships/image" Target="../media/image16.png"/></Relationships>
</file>

<file path=xl/drawings/_rels/drawing9.xml.rels><?xml version="1.0" encoding="UTF-8" standalone="yes"?>
<Relationships xmlns="http://schemas.openxmlformats.org/package/2006/relationships"><Relationship Id="rId3" Type="http://schemas.openxmlformats.org/officeDocument/2006/relationships/hyperlink" Target="#&#20837;&#21147;!A90"/><Relationship Id="rId2" Type="http://schemas.openxmlformats.org/officeDocument/2006/relationships/hyperlink" Target="#&#20837;&#21147;!A69"/><Relationship Id="rId1" Type="http://schemas.openxmlformats.org/officeDocument/2006/relationships/hyperlink" Target="#&#20837;&#21147;!A10"/></Relationships>
</file>

<file path=xl/drawings/drawing1.xml><?xml version="1.0" encoding="utf-8"?>
<xdr:wsDr xmlns:xdr="http://schemas.openxmlformats.org/drawingml/2006/spreadsheetDrawing" xmlns:a="http://schemas.openxmlformats.org/drawingml/2006/main">
  <xdr:twoCellAnchor>
    <xdr:from>
      <xdr:col>5</xdr:col>
      <xdr:colOff>400051</xdr:colOff>
      <xdr:row>12</xdr:row>
      <xdr:rowOff>161924</xdr:rowOff>
    </xdr:from>
    <xdr:to>
      <xdr:col>7</xdr:col>
      <xdr:colOff>666751</xdr:colOff>
      <xdr:row>20</xdr:row>
      <xdr:rowOff>104774</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rot="720000">
          <a:off x="3882391" y="2272664"/>
          <a:ext cx="1630680" cy="1283970"/>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16</xdr:row>
      <xdr:rowOff>85725</xdr:rowOff>
    </xdr:from>
    <xdr:to>
      <xdr:col>9</xdr:col>
      <xdr:colOff>0</xdr:colOff>
      <xdr:row>16</xdr:row>
      <xdr:rowOff>85725</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a:off x="3520440" y="2867025"/>
          <a:ext cx="2613660" cy="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333375</xdr:colOff>
      <xdr:row>10</xdr:row>
      <xdr:rowOff>9525</xdr:rowOff>
    </xdr:from>
    <xdr:to>
      <xdr:col>6</xdr:col>
      <xdr:colOff>333375</xdr:colOff>
      <xdr:row>24</xdr:row>
      <xdr:rowOff>161925</xdr:rowOff>
    </xdr:to>
    <xdr:cxnSp macro="">
      <xdr:nvCxnSpPr>
        <xdr:cNvPr id="4" name="直線コネクタ 3">
          <a:extLst>
            <a:ext uri="{FF2B5EF4-FFF2-40B4-BE49-F238E27FC236}">
              <a16:creationId xmlns:a16="http://schemas.microsoft.com/office/drawing/2014/main" id="{00000000-0008-0000-0000-000004000000}"/>
            </a:ext>
          </a:extLst>
        </xdr:cNvPr>
        <xdr:cNvCxnSpPr/>
      </xdr:nvCxnSpPr>
      <xdr:spPr>
        <a:xfrm flipH="1">
          <a:off x="4615815" y="1784985"/>
          <a:ext cx="0" cy="249936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428626</xdr:colOff>
      <xdr:row>8</xdr:row>
      <xdr:rowOff>100011</xdr:rowOff>
    </xdr:from>
    <xdr:to>
      <xdr:col>6</xdr:col>
      <xdr:colOff>428626</xdr:colOff>
      <xdr:row>25</xdr:row>
      <xdr:rowOff>90486</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rot="2700000">
          <a:off x="3290888" y="2960369"/>
          <a:ext cx="284035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647701</xdr:colOff>
      <xdr:row>16</xdr:row>
      <xdr:rowOff>95251</xdr:rowOff>
    </xdr:from>
    <xdr:to>
      <xdr:col>8</xdr:col>
      <xdr:colOff>409576</xdr:colOff>
      <xdr:row>16</xdr:row>
      <xdr:rowOff>95251</xdr:rowOff>
    </xdr:to>
    <xdr:cxnSp macro="">
      <xdr:nvCxnSpPr>
        <xdr:cNvPr id="6" name="直線コネクタ 5">
          <a:extLst>
            <a:ext uri="{FF2B5EF4-FFF2-40B4-BE49-F238E27FC236}">
              <a16:creationId xmlns:a16="http://schemas.microsoft.com/office/drawing/2014/main" id="{00000000-0008-0000-0000-000006000000}"/>
            </a:ext>
          </a:extLst>
        </xdr:cNvPr>
        <xdr:cNvCxnSpPr/>
      </xdr:nvCxnSpPr>
      <xdr:spPr>
        <a:xfrm rot="18900000">
          <a:off x="3329941" y="2876551"/>
          <a:ext cx="259651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180975</xdr:colOff>
      <xdr:row>19</xdr:row>
      <xdr:rowOff>28575</xdr:rowOff>
    </xdr:from>
    <xdr:to>
      <xdr:col>9</xdr:col>
      <xdr:colOff>238125</xdr:colOff>
      <xdr:row>21</xdr:row>
      <xdr:rowOff>38100</xdr:rowOff>
    </xdr:to>
    <xdr:sp macro="" textlink="">
      <xdr:nvSpPr>
        <xdr:cNvPr id="7" name="四角形吹き出し 9">
          <a:extLst>
            <a:ext uri="{FF2B5EF4-FFF2-40B4-BE49-F238E27FC236}">
              <a16:creationId xmlns:a16="http://schemas.microsoft.com/office/drawing/2014/main" id="{00000000-0008-0000-0000-000007000000}"/>
            </a:ext>
          </a:extLst>
        </xdr:cNvPr>
        <xdr:cNvSpPr/>
      </xdr:nvSpPr>
      <xdr:spPr>
        <a:xfrm>
          <a:off x="5697855" y="3312795"/>
          <a:ext cx="674370" cy="344805"/>
        </a:xfrm>
        <a:prstGeom prst="wedgeRectCallout">
          <a:avLst>
            <a:gd name="adj1" fmla="val -77243"/>
            <a:gd name="adj2" fmla="val -8063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東面</a:t>
          </a:r>
        </a:p>
      </xdr:txBody>
    </xdr:sp>
    <xdr:clientData/>
  </xdr:twoCellAnchor>
  <xdr:twoCellAnchor>
    <xdr:from>
      <xdr:col>6</xdr:col>
      <xdr:colOff>638175</xdr:colOff>
      <xdr:row>8</xdr:row>
      <xdr:rowOff>95250</xdr:rowOff>
    </xdr:from>
    <xdr:to>
      <xdr:col>8</xdr:col>
      <xdr:colOff>9525</xdr:colOff>
      <xdr:row>9</xdr:row>
      <xdr:rowOff>133350</xdr:rowOff>
    </xdr:to>
    <xdr:sp macro="" textlink="">
      <xdr:nvSpPr>
        <xdr:cNvPr id="8" name="四角形吹き出し 10">
          <a:extLst>
            <a:ext uri="{FF2B5EF4-FFF2-40B4-BE49-F238E27FC236}">
              <a16:creationId xmlns:a16="http://schemas.microsoft.com/office/drawing/2014/main" id="{00000000-0008-0000-0000-000008000000}"/>
            </a:ext>
          </a:extLst>
        </xdr:cNvPr>
        <xdr:cNvSpPr/>
      </xdr:nvSpPr>
      <xdr:spPr>
        <a:xfrm>
          <a:off x="4897755" y="1535430"/>
          <a:ext cx="628650" cy="205740"/>
        </a:xfrm>
        <a:prstGeom prst="wedgeRectCallout">
          <a:avLst>
            <a:gd name="adj1" fmla="val -69550"/>
            <a:gd name="adj2" fmla="val 30207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北面</a:t>
          </a:r>
        </a:p>
      </xdr:txBody>
    </xdr:sp>
    <xdr:clientData/>
  </xdr:twoCellAnchor>
  <xdr:twoCellAnchor>
    <xdr:from>
      <xdr:col>4</xdr:col>
      <xdr:colOff>276225</xdr:colOff>
      <xdr:row>13</xdr:row>
      <xdr:rowOff>9525</xdr:rowOff>
    </xdr:from>
    <xdr:to>
      <xdr:col>5</xdr:col>
      <xdr:colOff>133350</xdr:colOff>
      <xdr:row>14</xdr:row>
      <xdr:rowOff>142875</xdr:rowOff>
    </xdr:to>
    <xdr:sp macro="" textlink="">
      <xdr:nvSpPr>
        <xdr:cNvPr id="9" name="四角形吹き出し 11">
          <a:extLst>
            <a:ext uri="{FF2B5EF4-FFF2-40B4-BE49-F238E27FC236}">
              <a16:creationId xmlns:a16="http://schemas.microsoft.com/office/drawing/2014/main" id="{00000000-0008-0000-0000-000009000000}"/>
            </a:ext>
          </a:extLst>
        </xdr:cNvPr>
        <xdr:cNvSpPr/>
      </xdr:nvSpPr>
      <xdr:spPr>
        <a:xfrm>
          <a:off x="2958465" y="2287905"/>
          <a:ext cx="657225" cy="300990"/>
        </a:xfrm>
        <a:prstGeom prst="wedgeRectCallout">
          <a:avLst>
            <a:gd name="adj1" fmla="val 88142"/>
            <a:gd name="adj2" fmla="val 74265"/>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西面</a:t>
          </a:r>
        </a:p>
      </xdr:txBody>
    </xdr:sp>
    <xdr:clientData/>
  </xdr:twoCellAnchor>
  <xdr:twoCellAnchor>
    <xdr:from>
      <xdr:col>6</xdr:col>
      <xdr:colOff>552450</xdr:colOff>
      <xdr:row>23</xdr:row>
      <xdr:rowOff>9525</xdr:rowOff>
    </xdr:from>
    <xdr:to>
      <xdr:col>7</xdr:col>
      <xdr:colOff>609600</xdr:colOff>
      <xdr:row>24</xdr:row>
      <xdr:rowOff>114300</xdr:rowOff>
    </xdr:to>
    <xdr:sp macro="" textlink="">
      <xdr:nvSpPr>
        <xdr:cNvPr id="10" name="四角形吹き出し 12">
          <a:extLst>
            <a:ext uri="{FF2B5EF4-FFF2-40B4-BE49-F238E27FC236}">
              <a16:creationId xmlns:a16="http://schemas.microsoft.com/office/drawing/2014/main" id="{00000000-0008-0000-0000-00000A000000}"/>
            </a:ext>
          </a:extLst>
        </xdr:cNvPr>
        <xdr:cNvSpPr/>
      </xdr:nvSpPr>
      <xdr:spPr>
        <a:xfrm>
          <a:off x="4834890" y="3964305"/>
          <a:ext cx="674370" cy="272415"/>
        </a:xfrm>
        <a:prstGeom prst="wedgeRectCallout">
          <a:avLst>
            <a:gd name="adj1" fmla="val -31089"/>
            <a:gd name="adj2" fmla="val -16961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南面</a:t>
          </a:r>
        </a:p>
      </xdr:txBody>
    </xdr:sp>
    <xdr:clientData/>
  </xdr:twoCellAnchor>
  <xdr:twoCellAnchor>
    <xdr:from>
      <xdr:col>5</xdr:col>
      <xdr:colOff>400051</xdr:colOff>
      <xdr:row>30</xdr:row>
      <xdr:rowOff>161924</xdr:rowOff>
    </xdr:from>
    <xdr:to>
      <xdr:col>7</xdr:col>
      <xdr:colOff>666751</xdr:colOff>
      <xdr:row>38</xdr:row>
      <xdr:rowOff>104774</xdr:rowOff>
    </xdr:to>
    <xdr:sp macro="" textlink="">
      <xdr:nvSpPr>
        <xdr:cNvPr id="11" name="正方形/長方形 10">
          <a:extLst>
            <a:ext uri="{FF2B5EF4-FFF2-40B4-BE49-F238E27FC236}">
              <a16:creationId xmlns:a16="http://schemas.microsoft.com/office/drawing/2014/main" id="{00000000-0008-0000-0000-00000B000000}"/>
            </a:ext>
          </a:extLst>
        </xdr:cNvPr>
        <xdr:cNvSpPr/>
      </xdr:nvSpPr>
      <xdr:spPr>
        <a:xfrm rot="2400000">
          <a:off x="3882391" y="5305424"/>
          <a:ext cx="1630680" cy="1283970"/>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34</xdr:row>
      <xdr:rowOff>85725</xdr:rowOff>
    </xdr:from>
    <xdr:to>
      <xdr:col>9</xdr:col>
      <xdr:colOff>0</xdr:colOff>
      <xdr:row>34</xdr:row>
      <xdr:rowOff>85725</xdr:rowOff>
    </xdr:to>
    <xdr:cxnSp macro="">
      <xdr:nvCxnSpPr>
        <xdr:cNvPr id="12" name="直線コネクタ 11">
          <a:extLst>
            <a:ext uri="{FF2B5EF4-FFF2-40B4-BE49-F238E27FC236}">
              <a16:creationId xmlns:a16="http://schemas.microsoft.com/office/drawing/2014/main" id="{00000000-0008-0000-0000-00000C000000}"/>
            </a:ext>
          </a:extLst>
        </xdr:cNvPr>
        <xdr:cNvCxnSpPr/>
      </xdr:nvCxnSpPr>
      <xdr:spPr>
        <a:xfrm>
          <a:off x="3520440" y="5899785"/>
          <a:ext cx="2613660" cy="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333375</xdr:colOff>
      <xdr:row>28</xdr:row>
      <xdr:rowOff>9525</xdr:rowOff>
    </xdr:from>
    <xdr:to>
      <xdr:col>6</xdr:col>
      <xdr:colOff>333375</xdr:colOff>
      <xdr:row>41</xdr:row>
      <xdr:rowOff>120675</xdr:rowOff>
    </xdr:to>
    <xdr:cxnSp macro="">
      <xdr:nvCxnSpPr>
        <xdr:cNvPr id="13" name="直線コネクタ 12">
          <a:extLst>
            <a:ext uri="{FF2B5EF4-FFF2-40B4-BE49-F238E27FC236}">
              <a16:creationId xmlns:a16="http://schemas.microsoft.com/office/drawing/2014/main" id="{00000000-0008-0000-0000-00000D000000}"/>
            </a:ext>
          </a:extLst>
        </xdr:cNvPr>
        <xdr:cNvCxnSpPr/>
      </xdr:nvCxnSpPr>
      <xdr:spPr>
        <a:xfrm flipH="1">
          <a:off x="4615815" y="4817745"/>
          <a:ext cx="0" cy="229047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428626</xdr:colOff>
      <xdr:row>26</xdr:row>
      <xdr:rowOff>100011</xdr:rowOff>
    </xdr:from>
    <xdr:to>
      <xdr:col>6</xdr:col>
      <xdr:colOff>428626</xdr:colOff>
      <xdr:row>43</xdr:row>
      <xdr:rowOff>90486</xdr:rowOff>
    </xdr:to>
    <xdr:cxnSp macro="">
      <xdr:nvCxnSpPr>
        <xdr:cNvPr id="14" name="直線コネクタ 13">
          <a:extLst>
            <a:ext uri="{FF2B5EF4-FFF2-40B4-BE49-F238E27FC236}">
              <a16:creationId xmlns:a16="http://schemas.microsoft.com/office/drawing/2014/main" id="{00000000-0008-0000-0000-00000E000000}"/>
            </a:ext>
          </a:extLst>
        </xdr:cNvPr>
        <xdr:cNvCxnSpPr/>
      </xdr:nvCxnSpPr>
      <xdr:spPr>
        <a:xfrm rot="2700000">
          <a:off x="3283268" y="5993129"/>
          <a:ext cx="285559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647701</xdr:colOff>
      <xdr:row>34</xdr:row>
      <xdr:rowOff>95251</xdr:rowOff>
    </xdr:from>
    <xdr:to>
      <xdr:col>8</xdr:col>
      <xdr:colOff>409576</xdr:colOff>
      <xdr:row>34</xdr:row>
      <xdr:rowOff>95251</xdr:rowOff>
    </xdr:to>
    <xdr:cxnSp macro="">
      <xdr:nvCxnSpPr>
        <xdr:cNvPr id="15" name="直線コネクタ 14">
          <a:extLst>
            <a:ext uri="{FF2B5EF4-FFF2-40B4-BE49-F238E27FC236}">
              <a16:creationId xmlns:a16="http://schemas.microsoft.com/office/drawing/2014/main" id="{00000000-0008-0000-0000-00000F000000}"/>
            </a:ext>
          </a:extLst>
        </xdr:cNvPr>
        <xdr:cNvCxnSpPr/>
      </xdr:nvCxnSpPr>
      <xdr:spPr>
        <a:xfrm rot="18900000">
          <a:off x="3329941" y="5909311"/>
          <a:ext cx="2596515"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37</xdr:row>
      <xdr:rowOff>28575</xdr:rowOff>
    </xdr:from>
    <xdr:to>
      <xdr:col>9</xdr:col>
      <xdr:colOff>285750</xdr:colOff>
      <xdr:row>39</xdr:row>
      <xdr:rowOff>38100</xdr:rowOff>
    </xdr:to>
    <xdr:sp macro="" textlink="">
      <xdr:nvSpPr>
        <xdr:cNvPr id="16" name="四角形吹き出し 18">
          <a:extLst>
            <a:ext uri="{FF2B5EF4-FFF2-40B4-BE49-F238E27FC236}">
              <a16:creationId xmlns:a16="http://schemas.microsoft.com/office/drawing/2014/main" id="{00000000-0008-0000-0000-000010000000}"/>
            </a:ext>
          </a:extLst>
        </xdr:cNvPr>
        <xdr:cNvSpPr/>
      </xdr:nvSpPr>
      <xdr:spPr>
        <a:xfrm>
          <a:off x="5745480" y="6345555"/>
          <a:ext cx="674370" cy="344805"/>
        </a:xfrm>
        <a:prstGeom prst="wedgeRectCallout">
          <a:avLst>
            <a:gd name="adj1" fmla="val -77243"/>
            <a:gd name="adj2" fmla="val -8063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南東面</a:t>
          </a:r>
        </a:p>
      </xdr:txBody>
    </xdr:sp>
    <xdr:clientData/>
  </xdr:twoCellAnchor>
  <xdr:twoCellAnchor>
    <xdr:from>
      <xdr:col>8</xdr:col>
      <xdr:colOff>38100</xdr:colOff>
      <xdr:row>29</xdr:row>
      <xdr:rowOff>47625</xdr:rowOff>
    </xdr:from>
    <xdr:to>
      <xdr:col>9</xdr:col>
      <xdr:colOff>95250</xdr:colOff>
      <xdr:row>30</xdr:row>
      <xdr:rowOff>85725</xdr:rowOff>
    </xdr:to>
    <xdr:sp macro="" textlink="">
      <xdr:nvSpPr>
        <xdr:cNvPr id="17" name="四角形吹き出し 19">
          <a:extLst>
            <a:ext uri="{FF2B5EF4-FFF2-40B4-BE49-F238E27FC236}">
              <a16:creationId xmlns:a16="http://schemas.microsoft.com/office/drawing/2014/main" id="{00000000-0008-0000-0000-000011000000}"/>
            </a:ext>
          </a:extLst>
        </xdr:cNvPr>
        <xdr:cNvSpPr/>
      </xdr:nvSpPr>
      <xdr:spPr>
        <a:xfrm>
          <a:off x="5554980" y="5023485"/>
          <a:ext cx="674370" cy="205740"/>
        </a:xfrm>
        <a:prstGeom prst="wedgeRectCallout">
          <a:avLst>
            <a:gd name="adj1" fmla="val -69550"/>
            <a:gd name="adj2" fmla="val 30207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北東面</a:t>
          </a:r>
        </a:p>
      </xdr:txBody>
    </xdr:sp>
    <xdr:clientData/>
  </xdr:twoCellAnchor>
  <xdr:twoCellAnchor>
    <xdr:from>
      <xdr:col>4</xdr:col>
      <xdr:colOff>323850</xdr:colOff>
      <xdr:row>30</xdr:row>
      <xdr:rowOff>0</xdr:rowOff>
    </xdr:from>
    <xdr:to>
      <xdr:col>5</xdr:col>
      <xdr:colOff>180975</xdr:colOff>
      <xdr:row>31</xdr:row>
      <xdr:rowOff>133350</xdr:rowOff>
    </xdr:to>
    <xdr:sp macro="" textlink="">
      <xdr:nvSpPr>
        <xdr:cNvPr id="18" name="四角形吹き出し 20">
          <a:extLst>
            <a:ext uri="{FF2B5EF4-FFF2-40B4-BE49-F238E27FC236}">
              <a16:creationId xmlns:a16="http://schemas.microsoft.com/office/drawing/2014/main" id="{00000000-0008-0000-0000-000012000000}"/>
            </a:ext>
          </a:extLst>
        </xdr:cNvPr>
        <xdr:cNvSpPr/>
      </xdr:nvSpPr>
      <xdr:spPr>
        <a:xfrm>
          <a:off x="3006090" y="5143500"/>
          <a:ext cx="657225" cy="300990"/>
        </a:xfrm>
        <a:prstGeom prst="wedgeRectCallout">
          <a:avLst>
            <a:gd name="adj1" fmla="val 88142"/>
            <a:gd name="adj2" fmla="val 74265"/>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北西面</a:t>
          </a:r>
        </a:p>
      </xdr:txBody>
    </xdr:sp>
    <xdr:clientData/>
  </xdr:twoCellAnchor>
  <xdr:twoCellAnchor>
    <xdr:from>
      <xdr:col>4</xdr:col>
      <xdr:colOff>390525</xdr:colOff>
      <xdr:row>37</xdr:row>
      <xdr:rowOff>85725</xdr:rowOff>
    </xdr:from>
    <xdr:to>
      <xdr:col>5</xdr:col>
      <xdr:colOff>247650</xdr:colOff>
      <xdr:row>39</xdr:row>
      <xdr:rowOff>19050</xdr:rowOff>
    </xdr:to>
    <xdr:sp macro="" textlink="">
      <xdr:nvSpPr>
        <xdr:cNvPr id="19" name="四角形吹き出し 21">
          <a:extLst>
            <a:ext uri="{FF2B5EF4-FFF2-40B4-BE49-F238E27FC236}">
              <a16:creationId xmlns:a16="http://schemas.microsoft.com/office/drawing/2014/main" id="{00000000-0008-0000-0000-000013000000}"/>
            </a:ext>
          </a:extLst>
        </xdr:cNvPr>
        <xdr:cNvSpPr/>
      </xdr:nvSpPr>
      <xdr:spPr>
        <a:xfrm>
          <a:off x="3072765" y="6402705"/>
          <a:ext cx="657225" cy="268605"/>
        </a:xfrm>
        <a:prstGeom prst="wedgeRectCallout">
          <a:avLst>
            <a:gd name="adj1" fmla="val 66347"/>
            <a:gd name="adj2" fmla="val -183410"/>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ln>
                <a:solidFill>
                  <a:sysClr val="windowText" lastClr="000000"/>
                </a:solidFill>
              </a:ln>
              <a:solidFill>
                <a:sysClr val="windowText" lastClr="000000"/>
              </a:solidFill>
            </a:rPr>
            <a:t>南西面</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582707</xdr:colOff>
      <xdr:row>5</xdr:row>
      <xdr:rowOff>0</xdr:rowOff>
    </xdr:from>
    <xdr:to>
      <xdr:col>15</xdr:col>
      <xdr:colOff>429046</xdr:colOff>
      <xdr:row>32</xdr:row>
      <xdr:rowOff>76690</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935942" y="862853"/>
          <a:ext cx="8205927" cy="46150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38100</xdr:rowOff>
    </xdr:from>
    <xdr:to>
      <xdr:col>8</xdr:col>
      <xdr:colOff>104127</xdr:colOff>
      <xdr:row>30</xdr:row>
      <xdr:rowOff>161460</xdr:rowOff>
    </xdr:to>
    <xdr:pic>
      <xdr:nvPicPr>
        <xdr:cNvPr id="2" name="図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723900" y="1581150"/>
          <a:ext cx="5190477" cy="3723810"/>
        </a:xfrm>
        <a:prstGeom prst="rect">
          <a:avLst/>
        </a:prstGeom>
      </xdr:spPr>
    </xdr:pic>
    <xdr:clientData/>
  </xdr:twoCellAnchor>
  <xdr:twoCellAnchor>
    <xdr:from>
      <xdr:col>1</xdr:col>
      <xdr:colOff>352425</xdr:colOff>
      <xdr:row>17</xdr:row>
      <xdr:rowOff>133350</xdr:rowOff>
    </xdr:from>
    <xdr:to>
      <xdr:col>7</xdr:col>
      <xdr:colOff>495300</xdr:colOff>
      <xdr:row>21</xdr:row>
      <xdr:rowOff>9525</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1038225" y="3048000"/>
          <a:ext cx="4581525" cy="5619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38100</xdr:colOff>
      <xdr:row>22</xdr:row>
      <xdr:rowOff>66675</xdr:rowOff>
    </xdr:from>
    <xdr:to>
      <xdr:col>7</xdr:col>
      <xdr:colOff>571500</xdr:colOff>
      <xdr:row>25</xdr:row>
      <xdr:rowOff>114300</xdr:rowOff>
    </xdr:to>
    <xdr:sp macro="" textlink="">
      <xdr:nvSpPr>
        <xdr:cNvPr id="5" name="正方形/長方形 4">
          <a:extLst>
            <a:ext uri="{FF2B5EF4-FFF2-40B4-BE49-F238E27FC236}">
              <a16:creationId xmlns:a16="http://schemas.microsoft.com/office/drawing/2014/main" id="{00000000-0008-0000-0D00-000005000000}"/>
            </a:ext>
          </a:extLst>
        </xdr:cNvPr>
        <xdr:cNvSpPr/>
      </xdr:nvSpPr>
      <xdr:spPr>
        <a:xfrm>
          <a:off x="1114425" y="3838575"/>
          <a:ext cx="4581525" cy="5619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666750</xdr:colOff>
      <xdr:row>30</xdr:row>
      <xdr:rowOff>114301</xdr:rowOff>
    </xdr:from>
    <xdr:to>
      <xdr:col>7</xdr:col>
      <xdr:colOff>425961</xdr:colOff>
      <xdr:row>49</xdr:row>
      <xdr:rowOff>85725</xdr:rowOff>
    </xdr:to>
    <xdr:pic>
      <xdr:nvPicPr>
        <xdr:cNvPr id="6" name="図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666750" y="5257801"/>
          <a:ext cx="4864611" cy="3228974"/>
        </a:xfrm>
        <a:prstGeom prst="rect">
          <a:avLst/>
        </a:prstGeom>
      </xdr:spPr>
    </xdr:pic>
    <xdr:clientData/>
  </xdr:twoCellAnchor>
  <xdr:twoCellAnchor>
    <xdr:from>
      <xdr:col>3</xdr:col>
      <xdr:colOff>371475</xdr:colOff>
      <xdr:row>32</xdr:row>
      <xdr:rowOff>114300</xdr:rowOff>
    </xdr:from>
    <xdr:to>
      <xdr:col>5</xdr:col>
      <xdr:colOff>314325</xdr:colOff>
      <xdr:row>42</xdr:row>
      <xdr:rowOff>0</xdr:rowOff>
    </xdr:to>
    <xdr:sp macro="" textlink="">
      <xdr:nvSpPr>
        <xdr:cNvPr id="7" name="正方形/長方形 6">
          <a:extLst>
            <a:ext uri="{FF2B5EF4-FFF2-40B4-BE49-F238E27FC236}">
              <a16:creationId xmlns:a16="http://schemas.microsoft.com/office/drawing/2014/main" id="{00000000-0008-0000-0D00-000007000000}"/>
            </a:ext>
          </a:extLst>
        </xdr:cNvPr>
        <xdr:cNvSpPr/>
      </xdr:nvSpPr>
      <xdr:spPr>
        <a:xfrm>
          <a:off x="2790825" y="5600700"/>
          <a:ext cx="1314450" cy="16002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200025</xdr:colOff>
      <xdr:row>31</xdr:row>
      <xdr:rowOff>85725</xdr:rowOff>
    </xdr:from>
    <xdr:to>
      <xdr:col>9</xdr:col>
      <xdr:colOff>228600</xdr:colOff>
      <xdr:row>39</xdr:row>
      <xdr:rowOff>161925</xdr:rowOff>
    </xdr:to>
    <xdr:sp macro="" textlink="">
      <xdr:nvSpPr>
        <xdr:cNvPr id="8" name="四角形吹き出し 7">
          <a:extLst>
            <a:ext uri="{FF2B5EF4-FFF2-40B4-BE49-F238E27FC236}">
              <a16:creationId xmlns:a16="http://schemas.microsoft.com/office/drawing/2014/main" id="{00000000-0008-0000-0D00-000008000000}"/>
            </a:ext>
          </a:extLst>
        </xdr:cNvPr>
        <xdr:cNvSpPr/>
      </xdr:nvSpPr>
      <xdr:spPr>
        <a:xfrm>
          <a:off x="5324475" y="5400675"/>
          <a:ext cx="1400175" cy="1447800"/>
        </a:xfrm>
        <a:prstGeom prst="wedgeRectCallout">
          <a:avLst>
            <a:gd name="adj1" fmla="val -144642"/>
            <a:gd name="adj2" fmla="val 5465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熱貫流率は、外表面と内表面の熱伝達率の数値の取り方による”誤差”である。本シートは上記の計算根拠と整合し、</a:t>
          </a:r>
          <a:r>
            <a:rPr kumimoji="1" lang="en-US" altLang="ja-JP" sz="1100">
              <a:solidFill>
                <a:srgbClr val="FF0000"/>
              </a:solidFill>
            </a:rPr>
            <a:t>3.91</a:t>
          </a:r>
          <a:r>
            <a:rPr kumimoji="1" lang="ja-JP" altLang="en-US" sz="1100">
              <a:solidFill>
                <a:srgbClr val="FF0000"/>
              </a:solidFill>
            </a:rPr>
            <a:t>を採用する。</a:t>
          </a:r>
        </a:p>
      </xdr:txBody>
    </xdr:sp>
    <xdr:clientData/>
  </xdr:twoCellAnchor>
  <xdr:twoCellAnchor>
    <xdr:from>
      <xdr:col>2</xdr:col>
      <xdr:colOff>38100</xdr:colOff>
      <xdr:row>11</xdr:row>
      <xdr:rowOff>66675</xdr:rowOff>
    </xdr:from>
    <xdr:to>
      <xdr:col>7</xdr:col>
      <xdr:colOff>495300</xdr:colOff>
      <xdr:row>17</xdr:row>
      <xdr:rowOff>95250</xdr:rowOff>
    </xdr:to>
    <xdr:cxnSp macro="">
      <xdr:nvCxnSpPr>
        <xdr:cNvPr id="10" name="直線コネクタ 9">
          <a:extLst>
            <a:ext uri="{FF2B5EF4-FFF2-40B4-BE49-F238E27FC236}">
              <a16:creationId xmlns:a16="http://schemas.microsoft.com/office/drawing/2014/main" id="{00000000-0008-0000-0D00-00000A000000}"/>
            </a:ext>
          </a:extLst>
        </xdr:cNvPr>
        <xdr:cNvCxnSpPr/>
      </xdr:nvCxnSpPr>
      <xdr:spPr>
        <a:xfrm>
          <a:off x="1114425" y="1952625"/>
          <a:ext cx="4505325" cy="10572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12</xdr:row>
      <xdr:rowOff>57150</xdr:rowOff>
    </xdr:from>
    <xdr:to>
      <xdr:col>7</xdr:col>
      <xdr:colOff>619125</xdr:colOff>
      <xdr:row>17</xdr:row>
      <xdr:rowOff>28575</xdr:rowOff>
    </xdr:to>
    <xdr:cxnSp macro="">
      <xdr:nvCxnSpPr>
        <xdr:cNvPr id="12" name="直線コネクタ 11">
          <a:extLst>
            <a:ext uri="{FF2B5EF4-FFF2-40B4-BE49-F238E27FC236}">
              <a16:creationId xmlns:a16="http://schemas.microsoft.com/office/drawing/2014/main" id="{00000000-0008-0000-0D00-00000C000000}"/>
            </a:ext>
          </a:extLst>
        </xdr:cNvPr>
        <xdr:cNvCxnSpPr/>
      </xdr:nvCxnSpPr>
      <xdr:spPr>
        <a:xfrm flipV="1">
          <a:off x="1162050" y="2114550"/>
          <a:ext cx="4581525" cy="8286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26</xdr:row>
      <xdr:rowOff>57150</xdr:rowOff>
    </xdr:from>
    <xdr:to>
      <xdr:col>7</xdr:col>
      <xdr:colOff>152400</xdr:colOff>
      <xdr:row>30</xdr:row>
      <xdr:rowOff>76200</xdr:rowOff>
    </xdr:to>
    <xdr:cxnSp macro="">
      <xdr:nvCxnSpPr>
        <xdr:cNvPr id="14" name="直線コネクタ 13">
          <a:extLst>
            <a:ext uri="{FF2B5EF4-FFF2-40B4-BE49-F238E27FC236}">
              <a16:creationId xmlns:a16="http://schemas.microsoft.com/office/drawing/2014/main" id="{00000000-0008-0000-0D00-00000E000000}"/>
            </a:ext>
          </a:extLst>
        </xdr:cNvPr>
        <xdr:cNvCxnSpPr/>
      </xdr:nvCxnSpPr>
      <xdr:spPr>
        <a:xfrm>
          <a:off x="1162050" y="4514850"/>
          <a:ext cx="4114800" cy="70485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352425</xdr:colOff>
      <xdr:row>26</xdr:row>
      <xdr:rowOff>19050</xdr:rowOff>
    </xdr:from>
    <xdr:to>
      <xdr:col>7</xdr:col>
      <xdr:colOff>333375</xdr:colOff>
      <xdr:row>30</xdr:row>
      <xdr:rowOff>85725</xdr:rowOff>
    </xdr:to>
    <xdr:cxnSp macro="">
      <xdr:nvCxnSpPr>
        <xdr:cNvPr id="16" name="直線コネクタ 15">
          <a:extLst>
            <a:ext uri="{FF2B5EF4-FFF2-40B4-BE49-F238E27FC236}">
              <a16:creationId xmlns:a16="http://schemas.microsoft.com/office/drawing/2014/main" id="{00000000-0008-0000-0D00-000010000000}"/>
            </a:ext>
          </a:extLst>
        </xdr:cNvPr>
        <xdr:cNvCxnSpPr/>
      </xdr:nvCxnSpPr>
      <xdr:spPr>
        <a:xfrm flipV="1">
          <a:off x="1038225" y="4476750"/>
          <a:ext cx="4419600" cy="7524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0</xdr:colOff>
      <xdr:row>63</xdr:row>
      <xdr:rowOff>127000</xdr:rowOff>
    </xdr:from>
    <xdr:to>
      <xdr:col>26</xdr:col>
      <xdr:colOff>76200</xdr:colOff>
      <xdr:row>71</xdr:row>
      <xdr:rowOff>158750</xdr:rowOff>
    </xdr:to>
    <xdr:sp macro="" textlink="">
      <xdr:nvSpPr>
        <xdr:cNvPr id="2" name="吹き出し: 角を丸めた四角形 1">
          <a:extLst>
            <a:ext uri="{FF2B5EF4-FFF2-40B4-BE49-F238E27FC236}">
              <a16:creationId xmlns:a16="http://schemas.microsoft.com/office/drawing/2014/main" id="{00000000-0008-0000-0E00-000002000000}"/>
            </a:ext>
          </a:extLst>
        </xdr:cNvPr>
        <xdr:cNvSpPr/>
      </xdr:nvSpPr>
      <xdr:spPr>
        <a:xfrm>
          <a:off x="7296150" y="10617200"/>
          <a:ext cx="2019300" cy="1358900"/>
        </a:xfrm>
        <a:prstGeom prst="wedgeRoundRectCallout">
          <a:avLst>
            <a:gd name="adj1" fmla="val -117689"/>
            <a:gd name="adj2" fmla="val 40643"/>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小数点第一位で四捨五入するように、</a:t>
          </a:r>
          <a:r>
            <a:rPr kumimoji="1" lang="en-US" altLang="ja-JP" sz="1100">
              <a:solidFill>
                <a:srgbClr val="FF0000"/>
              </a:solidFill>
            </a:rPr>
            <a:t>ROUND</a:t>
          </a:r>
          <a:r>
            <a:rPr kumimoji="1" lang="ja-JP" altLang="en-US" sz="1100">
              <a:solidFill>
                <a:srgbClr val="FF0000"/>
              </a:solidFill>
            </a:rPr>
            <a:t>関数を追加</a:t>
          </a:r>
          <a:endParaRPr kumimoji="1" lang="en-US" altLang="ja-JP" sz="1100">
            <a:solidFill>
              <a:srgbClr val="FF0000"/>
            </a:solidFill>
          </a:endParaRPr>
        </a:p>
        <a:p>
          <a:pPr algn="l"/>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25401</xdr:colOff>
      <xdr:row>37</xdr:row>
      <xdr:rowOff>31751</xdr:rowOff>
    </xdr:from>
    <xdr:to>
      <xdr:col>9</xdr:col>
      <xdr:colOff>400050</xdr:colOff>
      <xdr:row>49</xdr:row>
      <xdr:rowOff>144067</xdr:rowOff>
    </xdr:to>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2978151" y="6305551"/>
          <a:ext cx="2755899" cy="2093516"/>
        </a:xfrm>
        <a:prstGeom prst="rect">
          <a:avLst/>
        </a:prstGeom>
      </xdr:spPr>
    </xdr:pic>
    <xdr:clientData/>
  </xdr:twoCellAnchor>
  <xdr:twoCellAnchor editAs="oneCell">
    <xdr:from>
      <xdr:col>0</xdr:col>
      <xdr:colOff>188337</xdr:colOff>
      <xdr:row>37</xdr:row>
      <xdr:rowOff>38100</xdr:rowOff>
    </xdr:from>
    <xdr:to>
      <xdr:col>4</xdr:col>
      <xdr:colOff>510509</xdr:colOff>
      <xdr:row>49</xdr:row>
      <xdr:rowOff>43964</xdr:rowOff>
    </xdr:to>
    <xdr:pic>
      <xdr:nvPicPr>
        <xdr:cNvPr id="5" name="図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a:stretch>
          <a:fillRect/>
        </a:stretch>
      </xdr:blipFill>
      <xdr:spPr>
        <a:xfrm>
          <a:off x="188337" y="6311900"/>
          <a:ext cx="2722472" cy="1987064"/>
        </a:xfrm>
        <a:prstGeom prst="rect">
          <a:avLst/>
        </a:prstGeom>
      </xdr:spPr>
    </xdr:pic>
    <xdr:clientData/>
  </xdr:twoCellAnchor>
  <xdr:twoCellAnchor editAs="oneCell">
    <xdr:from>
      <xdr:col>0</xdr:col>
      <xdr:colOff>177801</xdr:colOff>
      <xdr:row>50</xdr:row>
      <xdr:rowOff>0</xdr:rowOff>
    </xdr:from>
    <xdr:to>
      <xdr:col>5</xdr:col>
      <xdr:colOff>133351</xdr:colOff>
      <xdr:row>54</xdr:row>
      <xdr:rowOff>127887</xdr:rowOff>
    </xdr:to>
    <xdr:pic>
      <xdr:nvPicPr>
        <xdr:cNvPr id="6" name="図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a:stretch>
          <a:fillRect/>
        </a:stretch>
      </xdr:blipFill>
      <xdr:spPr>
        <a:xfrm>
          <a:off x="177801" y="8420100"/>
          <a:ext cx="2908300" cy="788287"/>
        </a:xfrm>
        <a:prstGeom prst="rect">
          <a:avLst/>
        </a:prstGeom>
      </xdr:spPr>
    </xdr:pic>
    <xdr:clientData/>
  </xdr:twoCellAnchor>
  <xdr:twoCellAnchor>
    <xdr:from>
      <xdr:col>7</xdr:col>
      <xdr:colOff>57150</xdr:colOff>
      <xdr:row>13</xdr:row>
      <xdr:rowOff>120650</xdr:rowOff>
    </xdr:from>
    <xdr:to>
      <xdr:col>10</xdr:col>
      <xdr:colOff>247650</xdr:colOff>
      <xdr:row>21</xdr:row>
      <xdr:rowOff>158750</xdr:rowOff>
    </xdr:to>
    <xdr:sp macro="" textlink="">
      <xdr:nvSpPr>
        <xdr:cNvPr id="7" name="吹き出し: 角を丸めた四角形 6">
          <a:extLst>
            <a:ext uri="{FF2B5EF4-FFF2-40B4-BE49-F238E27FC236}">
              <a16:creationId xmlns:a16="http://schemas.microsoft.com/office/drawing/2014/main" id="{00000000-0008-0000-1000-000007000000}"/>
            </a:ext>
          </a:extLst>
        </xdr:cNvPr>
        <xdr:cNvSpPr/>
      </xdr:nvSpPr>
      <xdr:spPr>
        <a:xfrm>
          <a:off x="4171950" y="2266950"/>
          <a:ext cx="2019300" cy="1358900"/>
        </a:xfrm>
        <a:prstGeom prst="wedgeRoundRectCallout">
          <a:avLst>
            <a:gd name="adj1" fmla="val -66116"/>
            <a:gd name="adj2" fmla="val 78026"/>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ピンク部分のを追加</a:t>
          </a:r>
          <a:endParaRPr kumimoji="1" lang="en-US" altLang="ja-JP" sz="1100">
            <a:solidFill>
              <a:srgbClr val="FF0000"/>
            </a:solidFill>
          </a:endParaRPr>
        </a:p>
        <a:p>
          <a:pPr algn="l"/>
          <a:r>
            <a:rPr kumimoji="1" lang="ja-JP" altLang="en-US" sz="1100">
              <a:solidFill>
                <a:srgbClr val="FF0000"/>
              </a:solidFill>
            </a:rPr>
            <a:t>懸案の日射時間の制限を追加した。</a:t>
          </a:r>
          <a:endParaRPr kumimoji="1" lang="en-US" altLang="ja-JP" sz="1100">
            <a:solidFill>
              <a:srgbClr val="FF0000"/>
            </a:solidFill>
          </a:endParaRPr>
        </a:p>
        <a:p>
          <a:pPr algn="l"/>
          <a:r>
            <a:rPr kumimoji="1" lang="ja-JP" altLang="en-US" sz="1100">
              <a:solidFill>
                <a:srgbClr val="FF0000"/>
              </a:solidFill>
            </a:rPr>
            <a:t>操業時間と日射時間の矛盾は解消</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161923</xdr:colOff>
      <xdr:row>21</xdr:row>
      <xdr:rowOff>80962</xdr:rowOff>
    </xdr:from>
    <xdr:to>
      <xdr:col>8</xdr:col>
      <xdr:colOff>66674</xdr:colOff>
      <xdr:row>39</xdr:row>
      <xdr:rowOff>142875</xdr:rowOff>
    </xdr:to>
    <xdr:graphicFrame macro="">
      <xdr:nvGraphicFramePr>
        <xdr:cNvPr id="2" name="グラフ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21</xdr:row>
      <xdr:rowOff>85725</xdr:rowOff>
    </xdr:from>
    <xdr:to>
      <xdr:col>14</xdr:col>
      <xdr:colOff>742950</xdr:colOff>
      <xdr:row>39</xdr:row>
      <xdr:rowOff>133350</xdr:rowOff>
    </xdr:to>
    <xdr:graphicFrame macro="">
      <xdr:nvGraphicFramePr>
        <xdr:cNvPr id="3" name="グラフ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88900</xdr:colOff>
      <xdr:row>2</xdr:row>
      <xdr:rowOff>95250</xdr:rowOff>
    </xdr:from>
    <xdr:to>
      <xdr:col>10</xdr:col>
      <xdr:colOff>184150</xdr:colOff>
      <xdr:row>14</xdr:row>
      <xdr:rowOff>25400</xdr:rowOff>
    </xdr:to>
    <xdr:sp macro="" textlink="">
      <xdr:nvSpPr>
        <xdr:cNvPr id="4" name="正方形/長方形 3">
          <a:extLst>
            <a:ext uri="{FF2B5EF4-FFF2-40B4-BE49-F238E27FC236}">
              <a16:creationId xmlns:a16="http://schemas.microsoft.com/office/drawing/2014/main" id="{00000000-0008-0000-1100-000004000000}"/>
            </a:ext>
          </a:extLst>
        </xdr:cNvPr>
        <xdr:cNvSpPr/>
      </xdr:nvSpPr>
      <xdr:spPr>
        <a:xfrm>
          <a:off x="1530350" y="425450"/>
          <a:ext cx="4667250" cy="2495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solidFill>
                <a:srgbClr val="FF0000"/>
              </a:solidFill>
            </a:rPr>
            <a:t>本様式は、使用不可とする。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161923</xdr:colOff>
      <xdr:row>35</xdr:row>
      <xdr:rowOff>80962</xdr:rowOff>
    </xdr:from>
    <xdr:to>
      <xdr:col>8</xdr:col>
      <xdr:colOff>66674</xdr:colOff>
      <xdr:row>53</xdr:row>
      <xdr:rowOff>142875</xdr:rowOff>
    </xdr:to>
    <xdr:graphicFrame macro="">
      <xdr:nvGraphicFramePr>
        <xdr:cNvPr id="2" name="グラフ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35</xdr:row>
      <xdr:rowOff>85725</xdr:rowOff>
    </xdr:from>
    <xdr:to>
      <xdr:col>14</xdr:col>
      <xdr:colOff>742950</xdr:colOff>
      <xdr:row>53</xdr:row>
      <xdr:rowOff>133350</xdr:rowOff>
    </xdr:to>
    <xdr:graphicFrame macro="">
      <xdr:nvGraphicFramePr>
        <xdr:cNvPr id="3" name="グラフ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165100</xdr:colOff>
      <xdr:row>12</xdr:row>
      <xdr:rowOff>635000</xdr:rowOff>
    </xdr:from>
    <xdr:to>
      <xdr:col>4</xdr:col>
      <xdr:colOff>101600</xdr:colOff>
      <xdr:row>26</xdr:row>
      <xdr:rowOff>107950</xdr:rowOff>
    </xdr:to>
    <xdr:cxnSp macro="">
      <xdr:nvCxnSpPr>
        <xdr:cNvPr id="5" name="直線矢印コネクタ 4">
          <a:extLst>
            <a:ext uri="{FF2B5EF4-FFF2-40B4-BE49-F238E27FC236}">
              <a16:creationId xmlns:a16="http://schemas.microsoft.com/office/drawing/2014/main" id="{00000000-0008-0000-1200-000005000000}"/>
            </a:ext>
          </a:extLst>
        </xdr:cNvPr>
        <xdr:cNvCxnSpPr/>
      </xdr:nvCxnSpPr>
      <xdr:spPr>
        <a:xfrm flipH="1">
          <a:off x="977900" y="2717800"/>
          <a:ext cx="1193800" cy="29654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609600</xdr:colOff>
      <xdr:row>12</xdr:row>
      <xdr:rowOff>495300</xdr:rowOff>
    </xdr:from>
    <xdr:to>
      <xdr:col>6</xdr:col>
      <xdr:colOff>330200</xdr:colOff>
      <xdr:row>19</xdr:row>
      <xdr:rowOff>6350</xdr:rowOff>
    </xdr:to>
    <xdr:cxnSp macro="">
      <xdr:nvCxnSpPr>
        <xdr:cNvPr id="7" name="直線矢印コネクタ 6">
          <a:extLst>
            <a:ext uri="{FF2B5EF4-FFF2-40B4-BE49-F238E27FC236}">
              <a16:creationId xmlns:a16="http://schemas.microsoft.com/office/drawing/2014/main" id="{00000000-0008-0000-1200-000007000000}"/>
            </a:ext>
          </a:extLst>
        </xdr:cNvPr>
        <xdr:cNvCxnSpPr/>
      </xdr:nvCxnSpPr>
      <xdr:spPr>
        <a:xfrm flipH="1">
          <a:off x="2051050" y="2578100"/>
          <a:ext cx="1606550" cy="18478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161923</xdr:colOff>
      <xdr:row>35</xdr:row>
      <xdr:rowOff>80962</xdr:rowOff>
    </xdr:from>
    <xdr:to>
      <xdr:col>8</xdr:col>
      <xdr:colOff>66674</xdr:colOff>
      <xdr:row>53</xdr:row>
      <xdr:rowOff>142875</xdr:rowOff>
    </xdr:to>
    <xdr:graphicFrame macro="">
      <xdr:nvGraphicFramePr>
        <xdr:cNvPr id="2" name="グラフ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35</xdr:row>
      <xdr:rowOff>85725</xdr:rowOff>
    </xdr:from>
    <xdr:to>
      <xdr:col>14</xdr:col>
      <xdr:colOff>742950</xdr:colOff>
      <xdr:row>53</xdr:row>
      <xdr:rowOff>133350</xdr:rowOff>
    </xdr:to>
    <xdr:graphicFrame macro="">
      <xdr:nvGraphicFramePr>
        <xdr:cNvPr id="3" name="グラフ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69850</xdr:colOff>
      <xdr:row>68</xdr:row>
      <xdr:rowOff>38100</xdr:rowOff>
    </xdr:from>
    <xdr:to>
      <xdr:col>32</xdr:col>
      <xdr:colOff>177800</xdr:colOff>
      <xdr:row>78</xdr:row>
      <xdr:rowOff>31750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254000" y="9423400"/>
          <a:ext cx="5816600" cy="1682750"/>
        </a:xfrm>
        <a:prstGeom prst="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419100</xdr:colOff>
      <xdr:row>12</xdr:row>
      <xdr:rowOff>219075</xdr:rowOff>
    </xdr:from>
    <xdr:to>
      <xdr:col>42</xdr:col>
      <xdr:colOff>1892754</xdr:colOff>
      <xdr:row>20</xdr:row>
      <xdr:rowOff>247650</xdr:rowOff>
    </xdr:to>
    <xdr:sp macro="" textlink="">
      <xdr:nvSpPr>
        <xdr:cNvPr id="5" name="四角形吹き出し 5">
          <a:extLst>
            <a:ext uri="{FF2B5EF4-FFF2-40B4-BE49-F238E27FC236}">
              <a16:creationId xmlns:a16="http://schemas.microsoft.com/office/drawing/2014/main" id="{00000000-0008-0000-0100-000005000000}"/>
            </a:ext>
          </a:extLst>
        </xdr:cNvPr>
        <xdr:cNvSpPr/>
      </xdr:nvSpPr>
      <xdr:spPr>
        <a:xfrm>
          <a:off x="7620000" y="3314700"/>
          <a:ext cx="5588454" cy="1857375"/>
        </a:xfrm>
        <a:prstGeom prst="wedgeRectCallout">
          <a:avLst>
            <a:gd name="adj1" fmla="val -59376"/>
            <a:gd name="adj2" fmla="val -17187"/>
          </a:avLst>
        </a:prstGeom>
        <a:solidFill>
          <a:schemeClr val="accent2">
            <a:lumMod val="20000"/>
            <a:lumOff val="80000"/>
          </a:schemeClr>
        </a:solidFill>
        <a:ln w="28575">
          <a:solidFill>
            <a:srgbClr val="00B0F0"/>
          </a:solidFill>
        </a:ln>
      </xdr:spPr>
      <xdr:style>
        <a:lnRef idx="2">
          <a:schemeClr val="accent6"/>
        </a:lnRef>
        <a:fillRef idx="1">
          <a:schemeClr val="lt1"/>
        </a:fillRef>
        <a:effectRef idx="0">
          <a:schemeClr val="accent6"/>
        </a:effectRef>
        <a:fontRef idx="minor">
          <a:schemeClr val="dk1"/>
        </a:fontRef>
      </xdr:style>
      <xdr:txBody>
        <a:bodyPr wrap="square" rtlCol="0" anchor="t">
          <a:noAutofit/>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a:t>エネルギー使用量は</a:t>
          </a:r>
          <a:r>
            <a:rPr kumimoji="1" lang="ja-JP" altLang="en-US" sz="1400" u="none"/>
            <a:t>、</a:t>
          </a:r>
          <a:r>
            <a:rPr kumimoji="1" lang="ja-JP" altLang="en-US" sz="1400" u="sng"/>
            <a:t>一番右の「原油換算」シート</a:t>
          </a:r>
          <a:r>
            <a:rPr kumimoji="1" lang="ja-JP" altLang="en-US" sz="1400"/>
            <a:t>に数値を</a:t>
          </a:r>
          <a:endParaRPr kumimoji="1" lang="en-US" altLang="ja-JP" sz="1400"/>
        </a:p>
        <a:p>
          <a:pPr algn="l"/>
          <a:r>
            <a:rPr kumimoji="1" lang="ja-JP" altLang="en-US" sz="1400"/>
            <a:t>記入してください。</a:t>
          </a:r>
          <a:endParaRPr kumimoji="1" lang="en-US" altLang="ja-JP" sz="1400"/>
        </a:p>
        <a:p>
          <a:pPr algn="l"/>
          <a:r>
            <a:rPr kumimoji="1" lang="ja-JP" altLang="en-US" sz="1400" b="1"/>
            <a:t>直近の年度のエネルギー使用量が、</a:t>
          </a:r>
          <a:r>
            <a:rPr kumimoji="1" lang="ja-JP" altLang="en-US" sz="1400" b="1" u="sng"/>
            <a:t>１００ｋＬ以上</a:t>
          </a:r>
          <a:r>
            <a:rPr kumimoji="1" lang="ja-JP" altLang="en-US" sz="1400" b="1"/>
            <a:t>の場合は</a:t>
          </a:r>
          <a:endParaRPr kumimoji="1" lang="en-US" altLang="ja-JP" sz="1400" b="1"/>
        </a:p>
        <a:p>
          <a:pPr algn="l"/>
          <a:r>
            <a:rPr kumimoji="1" lang="ja-JP" altLang="en-US" sz="1400" b="1"/>
            <a:t>省エネ診断の受診が必要になります。</a:t>
          </a:r>
          <a:endParaRPr kumimoji="1" lang="en-US" altLang="ja-JP" sz="1400" b="1"/>
        </a:p>
        <a:p>
          <a:pPr algn="l"/>
          <a:endParaRPr kumimoji="1" lang="en-US" altLang="ja-JP" sz="1400"/>
        </a:p>
        <a:p>
          <a:pPr algn="l"/>
          <a:r>
            <a:rPr kumimoji="1" lang="ja-JP" altLang="en-US" sz="1400"/>
            <a:t>　</a:t>
          </a:r>
          <a:r>
            <a:rPr kumimoji="1" lang="en-US" altLang="ja-JP" sz="1400"/>
            <a:t>※</a:t>
          </a:r>
          <a:r>
            <a:rPr kumimoji="1" lang="ja-JP" altLang="en-US" sz="1400"/>
            <a:t>但し、直近３年以内に受診済みの場合は</a:t>
          </a:r>
          <a:endParaRPr kumimoji="1" lang="en-US" altLang="ja-JP" sz="1400"/>
        </a:p>
        <a:p>
          <a:pPr algn="l"/>
          <a:r>
            <a:rPr kumimoji="1" lang="ja-JP" altLang="en-US" sz="1400"/>
            <a:t>　　診断報告書の写しの提出のみで、改めての受診は不要です。</a:t>
          </a:r>
        </a:p>
      </xdr:txBody>
    </xdr:sp>
    <xdr:clientData/>
  </xdr:twoCellAnchor>
  <xdr:twoCellAnchor>
    <xdr:from>
      <xdr:col>36</xdr:col>
      <xdr:colOff>0</xdr:colOff>
      <xdr:row>3</xdr:row>
      <xdr:rowOff>0</xdr:rowOff>
    </xdr:from>
    <xdr:to>
      <xdr:col>42</xdr:col>
      <xdr:colOff>2266950</xdr:colOff>
      <xdr:row>10</xdr:row>
      <xdr:rowOff>115714</xdr:rowOff>
    </xdr:to>
    <xdr:sp macro="" textlink="">
      <xdr:nvSpPr>
        <xdr:cNvPr id="6" name="角丸四角形 3">
          <a:extLst>
            <a:ext uri="{FF2B5EF4-FFF2-40B4-BE49-F238E27FC236}">
              <a16:creationId xmlns:a16="http://schemas.microsoft.com/office/drawing/2014/main" id="{00000000-0008-0000-0100-000006000000}"/>
            </a:ext>
          </a:extLst>
        </xdr:cNvPr>
        <xdr:cNvSpPr/>
      </xdr:nvSpPr>
      <xdr:spPr>
        <a:xfrm>
          <a:off x="7200900" y="628650"/>
          <a:ext cx="6381750" cy="1954039"/>
        </a:xfrm>
        <a:prstGeom prst="roundRect">
          <a:avLst>
            <a:gd name="adj" fmla="val 22390"/>
          </a:avLst>
        </a:prstGeom>
        <a:solidFill>
          <a:schemeClr val="accent2">
            <a:lumMod val="20000"/>
            <a:lumOff val="80000"/>
          </a:schemeClr>
        </a:solidFill>
        <a:ln w="28575">
          <a:solidFill>
            <a:srgbClr val="0070C0"/>
          </a:solidFill>
        </a:ln>
      </xdr:spPr>
      <xdr:style>
        <a:lnRef idx="2">
          <a:schemeClr val="accent6"/>
        </a:lnRef>
        <a:fillRef idx="1">
          <a:schemeClr val="lt1"/>
        </a:fillRef>
        <a:effectRef idx="0">
          <a:schemeClr val="accent6"/>
        </a:effectRef>
        <a:fontRef idx="minor">
          <a:schemeClr val="dk1"/>
        </a:fontRef>
      </xdr:style>
      <xdr:txBody>
        <a:bodyPr wrap="square" lIns="36000" tIns="36000" rIns="36000" bIns="36000" rtlCol="0" anchor="t">
          <a:spAutoFit/>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algn="l"/>
          <a:r>
            <a:rPr kumimoji="1" lang="ja-JP" altLang="en-US" sz="1400" b="1"/>
            <a:t>　</a:t>
          </a:r>
          <a:r>
            <a:rPr kumimoji="1" lang="en-US" altLang="ja-JP" sz="1400" b="1"/>
            <a:t>【</a:t>
          </a:r>
          <a:r>
            <a:rPr kumimoji="1" lang="ja-JP" altLang="en-US" sz="1400" b="1"/>
            <a:t>注意事項</a:t>
          </a:r>
          <a:r>
            <a:rPr kumimoji="1" lang="en-US" altLang="ja-JP" sz="1400" b="1"/>
            <a:t>】</a:t>
          </a:r>
        </a:p>
        <a:p>
          <a:pPr algn="l"/>
          <a:r>
            <a:rPr kumimoji="1" lang="ja-JP" altLang="en-US" sz="1400"/>
            <a:t>　　・シートは全部で</a:t>
          </a:r>
          <a:r>
            <a:rPr kumimoji="1" lang="en-US" altLang="ja-JP" sz="1400"/>
            <a:t>8</a:t>
          </a:r>
          <a:r>
            <a:rPr kumimoji="1" lang="ja-JP" altLang="en-US" sz="1400"/>
            <a:t>枚あります。</a:t>
          </a:r>
          <a:endParaRPr kumimoji="1" lang="en-US" altLang="ja-JP" sz="1400"/>
        </a:p>
        <a:p>
          <a:pPr algn="l"/>
          <a:r>
            <a:rPr kumimoji="1" lang="ja-JP" altLang="en-US" sz="1400"/>
            <a:t>　　・記入いただくシートは、</a:t>
          </a:r>
          <a:endParaRPr kumimoji="1" lang="en-US" altLang="ja-JP" sz="1400"/>
        </a:p>
        <a:p>
          <a:pPr algn="l"/>
          <a:r>
            <a:rPr lang="en-US" altLang="ja-JP" sz="1400"/>
            <a:t>        </a:t>
          </a:r>
          <a:r>
            <a:rPr kumimoji="1" lang="ja-JP" altLang="en-US" sz="1400"/>
            <a:t>「①」「②」「③」「入力」「原油換算」です</a:t>
          </a:r>
          <a:r>
            <a:rPr lang="ja-JP" altLang="en-US" sz="1400"/>
            <a:t>。</a:t>
          </a:r>
          <a:endParaRPr lang="en-US" altLang="ja-JP" sz="1400"/>
        </a:p>
        <a:p>
          <a:pPr algn="l"/>
          <a:r>
            <a:rPr lang="en-US" altLang="ja-JP" sz="1400"/>
            <a:t>        </a:t>
          </a:r>
          <a:r>
            <a:rPr lang="ja-JP" altLang="en-US" sz="1400"/>
            <a:t>（「入力」シート作成の際、「簡易計算シート」をご活用ください。）</a:t>
          </a:r>
          <a:endParaRPr lang="en-US" altLang="ja-JP" sz="1400"/>
        </a:p>
        <a:p>
          <a:pPr algn="l"/>
          <a:r>
            <a:rPr lang="ja-JP" altLang="en-US" sz="1400"/>
            <a:t>　　・「ヘルプ」シートに作成上の注意点がありますのでご参照ください。</a:t>
          </a:r>
          <a:endParaRPr lang="en-US" altLang="ja-JP" sz="1400"/>
        </a:p>
        <a:p>
          <a:pPr algn="l"/>
          <a:r>
            <a:rPr lang="ja-JP" altLang="en-US" sz="1400"/>
            <a:t>　　・</a:t>
          </a:r>
          <a:r>
            <a:rPr kumimoji="1" lang="ja-JP" altLang="en-US" sz="1400"/>
            <a:t>記入漏れがないよう、ご注意ください！</a:t>
          </a:r>
          <a:endParaRPr kumimoji="1" lang="en-US" altLang="ja-JP" sz="14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161923</xdr:colOff>
      <xdr:row>64</xdr:row>
      <xdr:rowOff>80962</xdr:rowOff>
    </xdr:from>
    <xdr:to>
      <xdr:col>8</xdr:col>
      <xdr:colOff>66674</xdr:colOff>
      <xdr:row>82</xdr:row>
      <xdr:rowOff>142875</xdr:rowOff>
    </xdr:to>
    <xdr:graphicFrame macro="">
      <xdr:nvGraphicFramePr>
        <xdr:cNvPr id="2" name="グラフ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64</xdr:row>
      <xdr:rowOff>85725</xdr:rowOff>
    </xdr:from>
    <xdr:to>
      <xdr:col>14</xdr:col>
      <xdr:colOff>742950</xdr:colOff>
      <xdr:row>82</xdr:row>
      <xdr:rowOff>133350</xdr:rowOff>
    </xdr:to>
    <xdr:graphicFrame macro="">
      <xdr:nvGraphicFramePr>
        <xdr:cNvPr id="3" name="グラフ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190499</xdr:colOff>
      <xdr:row>21</xdr:row>
      <xdr:rowOff>42862</xdr:rowOff>
    </xdr:from>
    <xdr:to>
      <xdr:col>8</xdr:col>
      <xdr:colOff>28574</xdr:colOff>
      <xdr:row>39</xdr:row>
      <xdr:rowOff>152400</xdr:rowOff>
    </xdr:to>
    <xdr:graphicFrame macro="">
      <xdr:nvGraphicFramePr>
        <xdr:cNvPr id="2" name="グラフ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21</xdr:row>
      <xdr:rowOff>57150</xdr:rowOff>
    </xdr:from>
    <xdr:to>
      <xdr:col>15</xdr:col>
      <xdr:colOff>9525</xdr:colOff>
      <xdr:row>39</xdr:row>
      <xdr:rowOff>152400</xdr:rowOff>
    </xdr:to>
    <xdr:graphicFrame macro="">
      <xdr:nvGraphicFramePr>
        <xdr:cNvPr id="3" name="グラフ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11</xdr:col>
      <xdr:colOff>114300</xdr:colOff>
      <xdr:row>16</xdr:row>
      <xdr:rowOff>57150</xdr:rowOff>
    </xdr:to>
    <xdr:sp macro="" textlink="">
      <xdr:nvSpPr>
        <xdr:cNvPr id="4" name="正方形/長方形 3">
          <a:extLst>
            <a:ext uri="{FF2B5EF4-FFF2-40B4-BE49-F238E27FC236}">
              <a16:creationId xmlns:a16="http://schemas.microsoft.com/office/drawing/2014/main" id="{00000000-0008-0000-1800-000004000000}"/>
            </a:ext>
          </a:extLst>
        </xdr:cNvPr>
        <xdr:cNvSpPr/>
      </xdr:nvSpPr>
      <xdr:spPr>
        <a:xfrm>
          <a:off x="2057400" y="787400"/>
          <a:ext cx="4667250" cy="2495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solidFill>
                <a:srgbClr val="FF0000"/>
              </a:solidFill>
            </a:rPr>
            <a:t>本様式は、使用不可とする。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190499</xdr:colOff>
      <xdr:row>35</xdr:row>
      <xdr:rowOff>42862</xdr:rowOff>
    </xdr:from>
    <xdr:to>
      <xdr:col>8</xdr:col>
      <xdr:colOff>28574</xdr:colOff>
      <xdr:row>53</xdr:row>
      <xdr:rowOff>152400</xdr:rowOff>
    </xdr:to>
    <xdr:graphicFrame macro="">
      <xdr:nvGraphicFramePr>
        <xdr:cNvPr id="2" name="グラフ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35</xdr:row>
      <xdr:rowOff>57150</xdr:rowOff>
    </xdr:from>
    <xdr:to>
      <xdr:col>15</xdr:col>
      <xdr:colOff>9525</xdr:colOff>
      <xdr:row>53</xdr:row>
      <xdr:rowOff>152400</xdr:rowOff>
    </xdr:to>
    <xdr:graphicFrame macro="">
      <xdr:nvGraphicFramePr>
        <xdr:cNvPr id="3" name="グラフ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190499</xdr:colOff>
      <xdr:row>35</xdr:row>
      <xdr:rowOff>42862</xdr:rowOff>
    </xdr:from>
    <xdr:to>
      <xdr:col>8</xdr:col>
      <xdr:colOff>28574</xdr:colOff>
      <xdr:row>53</xdr:row>
      <xdr:rowOff>152400</xdr:rowOff>
    </xdr:to>
    <xdr:graphicFrame macro="">
      <xdr:nvGraphicFramePr>
        <xdr:cNvPr id="2" name="グラフ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35</xdr:row>
      <xdr:rowOff>57150</xdr:rowOff>
    </xdr:from>
    <xdr:to>
      <xdr:col>15</xdr:col>
      <xdr:colOff>9525</xdr:colOff>
      <xdr:row>53</xdr:row>
      <xdr:rowOff>152400</xdr:rowOff>
    </xdr:to>
    <xdr:graphicFrame macro="">
      <xdr:nvGraphicFramePr>
        <xdr:cNvPr id="3" name="グラフ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57150</xdr:colOff>
      <xdr:row>34</xdr:row>
      <xdr:rowOff>57150</xdr:rowOff>
    </xdr:from>
    <xdr:to>
      <xdr:col>23</xdr:col>
      <xdr:colOff>311150</xdr:colOff>
      <xdr:row>44</xdr:row>
      <xdr:rowOff>82550</xdr:rowOff>
    </xdr:to>
    <xdr:sp macro="" textlink="">
      <xdr:nvSpPr>
        <xdr:cNvPr id="5" name="正方形/長方形 4">
          <a:extLst>
            <a:ext uri="{FF2B5EF4-FFF2-40B4-BE49-F238E27FC236}">
              <a16:creationId xmlns:a16="http://schemas.microsoft.com/office/drawing/2014/main" id="{00000000-0008-0000-1D00-000005000000}"/>
            </a:ext>
          </a:extLst>
        </xdr:cNvPr>
        <xdr:cNvSpPr/>
      </xdr:nvSpPr>
      <xdr:spPr>
        <a:xfrm>
          <a:off x="10617200" y="5727700"/>
          <a:ext cx="4025900" cy="1676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3/16</a:t>
          </a:r>
          <a:r>
            <a:rPr kumimoji="1" lang="ja-JP" altLang="en-US" sz="1100"/>
            <a:t>は熊谷外壁断熱から</a:t>
          </a:r>
          <a:endParaRPr kumimoji="1" lang="en-US" altLang="ja-JP" sz="1100"/>
        </a:p>
        <a:p>
          <a:pPr algn="l"/>
          <a:r>
            <a:rPr kumimoji="1" lang="ja-JP" altLang="en-US" sz="1100"/>
            <a:t>熊谷</a:t>
          </a:r>
          <a:r>
            <a:rPr kumimoji="1" lang="en-US" altLang="ja-JP" sz="1100"/>
            <a:t>2</a:t>
          </a:r>
          <a:r>
            <a:rPr kumimoji="1" lang="ja-JP" altLang="en-US" sz="1100"/>
            <a:t>件、秩父６件</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190499</xdr:colOff>
      <xdr:row>64</xdr:row>
      <xdr:rowOff>42862</xdr:rowOff>
    </xdr:from>
    <xdr:to>
      <xdr:col>8</xdr:col>
      <xdr:colOff>28574</xdr:colOff>
      <xdr:row>82</xdr:row>
      <xdr:rowOff>152400</xdr:rowOff>
    </xdr:to>
    <xdr:graphicFrame macro="">
      <xdr:nvGraphicFramePr>
        <xdr:cNvPr id="2" name="グラフ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64</xdr:row>
      <xdr:rowOff>57150</xdr:rowOff>
    </xdr:from>
    <xdr:to>
      <xdr:col>15</xdr:col>
      <xdr:colOff>9525</xdr:colOff>
      <xdr:row>82</xdr:row>
      <xdr:rowOff>152400</xdr:rowOff>
    </xdr:to>
    <xdr:graphicFrame macro="">
      <xdr:nvGraphicFramePr>
        <xdr:cNvPr id="3" name="グラフ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209549</xdr:colOff>
      <xdr:row>21</xdr:row>
      <xdr:rowOff>61912</xdr:rowOff>
    </xdr:from>
    <xdr:to>
      <xdr:col>8</xdr:col>
      <xdr:colOff>38099</xdr:colOff>
      <xdr:row>39</xdr:row>
      <xdr:rowOff>152400</xdr:rowOff>
    </xdr:to>
    <xdr:graphicFrame macro="">
      <xdr:nvGraphicFramePr>
        <xdr:cNvPr id="2" name="グラフ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21</xdr:row>
      <xdr:rowOff>42862</xdr:rowOff>
    </xdr:from>
    <xdr:to>
      <xdr:col>14</xdr:col>
      <xdr:colOff>723899</xdr:colOff>
      <xdr:row>40</xdr:row>
      <xdr:rowOff>0</xdr:rowOff>
    </xdr:to>
    <xdr:graphicFrame macro="">
      <xdr:nvGraphicFramePr>
        <xdr:cNvPr id="3" name="グラフ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xdr:row>
      <xdr:rowOff>0</xdr:rowOff>
    </xdr:from>
    <xdr:to>
      <xdr:col>11</xdr:col>
      <xdr:colOff>101600</xdr:colOff>
      <xdr:row>16</xdr:row>
      <xdr:rowOff>57150</xdr:rowOff>
    </xdr:to>
    <xdr:sp macro="" textlink="">
      <xdr:nvSpPr>
        <xdr:cNvPr id="4" name="正方形/長方形 3">
          <a:extLst>
            <a:ext uri="{FF2B5EF4-FFF2-40B4-BE49-F238E27FC236}">
              <a16:creationId xmlns:a16="http://schemas.microsoft.com/office/drawing/2014/main" id="{00000000-0008-0000-1F00-000004000000}"/>
            </a:ext>
          </a:extLst>
        </xdr:cNvPr>
        <xdr:cNvSpPr/>
      </xdr:nvSpPr>
      <xdr:spPr>
        <a:xfrm>
          <a:off x="2076450" y="787400"/>
          <a:ext cx="4667250" cy="2495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solidFill>
                <a:srgbClr val="FF0000"/>
              </a:solidFill>
            </a:rPr>
            <a:t>＝本様式は、使用不可とする。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209549</xdr:colOff>
      <xdr:row>35</xdr:row>
      <xdr:rowOff>61912</xdr:rowOff>
    </xdr:from>
    <xdr:to>
      <xdr:col>8</xdr:col>
      <xdr:colOff>38099</xdr:colOff>
      <xdr:row>53</xdr:row>
      <xdr:rowOff>152400</xdr:rowOff>
    </xdr:to>
    <xdr:graphicFrame macro="">
      <xdr:nvGraphicFramePr>
        <xdr:cNvPr id="2" name="グラフ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35</xdr:row>
      <xdr:rowOff>42862</xdr:rowOff>
    </xdr:from>
    <xdr:to>
      <xdr:col>14</xdr:col>
      <xdr:colOff>723899</xdr:colOff>
      <xdr:row>54</xdr:row>
      <xdr:rowOff>0</xdr:rowOff>
    </xdr:to>
    <xdr:graphicFrame macro="">
      <xdr:nvGraphicFramePr>
        <xdr:cNvPr id="3" name="グラフ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34</xdr:col>
      <xdr:colOff>0</xdr:colOff>
      <xdr:row>18</xdr:row>
      <xdr:rowOff>57150</xdr:rowOff>
    </xdr:from>
    <xdr:to>
      <xdr:col>40</xdr:col>
      <xdr:colOff>387613</xdr:colOff>
      <xdr:row>24</xdr:row>
      <xdr:rowOff>16127</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6772275" y="3467100"/>
          <a:ext cx="4499238" cy="1444877"/>
        </a:xfrm>
        <a:prstGeom prst="rect">
          <a:avLst/>
        </a:prstGeom>
      </xdr:spPr>
    </xdr:pic>
    <xdr:clientData/>
  </xdr:twoCellAnchor>
  <xdr:twoCellAnchor editAs="oneCell">
    <xdr:from>
      <xdr:col>34</xdr:col>
      <xdr:colOff>28575</xdr:colOff>
      <xdr:row>0</xdr:row>
      <xdr:rowOff>57150</xdr:rowOff>
    </xdr:from>
    <xdr:to>
      <xdr:col>41</xdr:col>
      <xdr:colOff>379541</xdr:colOff>
      <xdr:row>17</xdr:row>
      <xdr:rowOff>114951</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
        <a:stretch>
          <a:fillRect/>
        </a:stretch>
      </xdr:blipFill>
      <xdr:spPr>
        <a:xfrm>
          <a:off x="6800850" y="57150"/>
          <a:ext cx="5151566" cy="3115326"/>
        </a:xfrm>
        <a:prstGeom prst="rect">
          <a:avLst/>
        </a:prstGeom>
      </xdr:spPr>
    </xdr:pic>
    <xdr:clientData/>
  </xdr:twoCellAnchor>
  <xdr:twoCellAnchor editAs="oneCell">
    <xdr:from>
      <xdr:col>34</xdr:col>
      <xdr:colOff>123825</xdr:colOff>
      <xdr:row>29</xdr:row>
      <xdr:rowOff>0</xdr:rowOff>
    </xdr:from>
    <xdr:to>
      <xdr:col>42</xdr:col>
      <xdr:colOff>136494</xdr:colOff>
      <xdr:row>45</xdr:row>
      <xdr:rowOff>105706</xdr:rowOff>
    </xdr:to>
    <xdr:pic>
      <xdr:nvPicPr>
        <xdr:cNvPr id="13" name="図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3"/>
        <a:stretch>
          <a:fillRect/>
        </a:stretch>
      </xdr:blipFill>
      <xdr:spPr>
        <a:xfrm>
          <a:off x="6896100" y="5943600"/>
          <a:ext cx="5499069" cy="3414056"/>
        </a:xfrm>
        <a:prstGeom prst="rect">
          <a:avLst/>
        </a:prstGeom>
      </xdr:spPr>
    </xdr:pic>
    <xdr:clientData/>
  </xdr:twoCellAnchor>
  <xdr:twoCellAnchor editAs="oneCell">
    <xdr:from>
      <xdr:col>35</xdr:col>
      <xdr:colOff>73025</xdr:colOff>
      <xdr:row>10</xdr:row>
      <xdr:rowOff>28576</xdr:rowOff>
    </xdr:from>
    <xdr:to>
      <xdr:col>41</xdr:col>
      <xdr:colOff>312284</xdr:colOff>
      <xdr:row>13</xdr:row>
      <xdr:rowOff>53975</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a:stretch>
          <a:fillRect/>
        </a:stretch>
      </xdr:blipFill>
      <xdr:spPr>
        <a:xfrm>
          <a:off x="6835775" y="1704976"/>
          <a:ext cx="4011159" cy="701674"/>
        </a:xfrm>
        <a:prstGeom prst="rect">
          <a:avLst/>
        </a:prstGeom>
      </xdr:spPr>
    </xdr:pic>
    <xdr:clientData/>
  </xdr:twoCellAnchor>
  <xdr:twoCellAnchor editAs="oneCell">
    <xdr:from>
      <xdr:col>34</xdr:col>
      <xdr:colOff>542924</xdr:colOff>
      <xdr:row>39</xdr:row>
      <xdr:rowOff>130893</xdr:rowOff>
    </xdr:from>
    <xdr:to>
      <xdr:col>42</xdr:col>
      <xdr:colOff>44450</xdr:colOff>
      <xdr:row>43</xdr:row>
      <xdr:rowOff>103649</xdr:rowOff>
    </xdr:to>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a:stretch>
          <a:fillRect/>
        </a:stretch>
      </xdr:blipFill>
      <xdr:spPr>
        <a:xfrm>
          <a:off x="6677024" y="8103318"/>
          <a:ext cx="4530726" cy="88715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209549</xdr:colOff>
      <xdr:row>35</xdr:row>
      <xdr:rowOff>61912</xdr:rowOff>
    </xdr:from>
    <xdr:to>
      <xdr:col>8</xdr:col>
      <xdr:colOff>38099</xdr:colOff>
      <xdr:row>53</xdr:row>
      <xdr:rowOff>152400</xdr:rowOff>
    </xdr:to>
    <xdr:graphicFrame macro="">
      <xdr:nvGraphicFramePr>
        <xdr:cNvPr id="2" name="グラフ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35</xdr:row>
      <xdr:rowOff>42862</xdr:rowOff>
    </xdr:from>
    <xdr:to>
      <xdr:col>14</xdr:col>
      <xdr:colOff>723899</xdr:colOff>
      <xdr:row>54</xdr:row>
      <xdr:rowOff>0</xdr:rowOff>
    </xdr:to>
    <xdr:graphicFrame macro="">
      <xdr:nvGraphicFramePr>
        <xdr:cNvPr id="3" name="グラフ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209549</xdr:colOff>
      <xdr:row>64</xdr:row>
      <xdr:rowOff>61912</xdr:rowOff>
    </xdr:from>
    <xdr:to>
      <xdr:col>8</xdr:col>
      <xdr:colOff>38099</xdr:colOff>
      <xdr:row>82</xdr:row>
      <xdr:rowOff>152400</xdr:rowOff>
    </xdr:to>
    <xdr:graphicFrame macro="">
      <xdr:nvGraphicFramePr>
        <xdr:cNvPr id="2" name="グラフ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64</xdr:row>
      <xdr:rowOff>42862</xdr:rowOff>
    </xdr:from>
    <xdr:to>
      <xdr:col>14</xdr:col>
      <xdr:colOff>723899</xdr:colOff>
      <xdr:row>83</xdr:row>
      <xdr:rowOff>0</xdr:rowOff>
    </xdr:to>
    <xdr:graphicFrame macro="">
      <xdr:nvGraphicFramePr>
        <xdr:cNvPr id="3" name="グラフ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171450</xdr:colOff>
      <xdr:row>17</xdr:row>
      <xdr:rowOff>28575</xdr:rowOff>
    </xdr:from>
    <xdr:to>
      <xdr:col>10</xdr:col>
      <xdr:colOff>628650</xdr:colOff>
      <xdr:row>33</xdr:row>
      <xdr:rowOff>28575</xdr:rowOff>
    </xdr:to>
    <xdr:graphicFrame macro="">
      <xdr:nvGraphicFramePr>
        <xdr:cNvPr id="2" name="グラフ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123825</xdr:colOff>
      <xdr:row>0</xdr:row>
      <xdr:rowOff>57150</xdr:rowOff>
    </xdr:from>
    <xdr:to>
      <xdr:col>15</xdr:col>
      <xdr:colOff>447675</xdr:colOff>
      <xdr:row>14</xdr:row>
      <xdr:rowOff>76200</xdr:rowOff>
    </xdr:to>
    <xdr:graphicFrame macro="">
      <xdr:nvGraphicFramePr>
        <xdr:cNvPr id="3" name="グラフ 2">
          <a:extLst>
            <a:ext uri="{FF2B5EF4-FFF2-40B4-BE49-F238E27FC236}">
              <a16:creationId xmlns:a16="http://schemas.microsoft.com/office/drawing/2014/main" id="{00000000-0008-0000-2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14</xdr:col>
      <xdr:colOff>603250</xdr:colOff>
      <xdr:row>9</xdr:row>
      <xdr:rowOff>101600</xdr:rowOff>
    </xdr:from>
    <xdr:to>
      <xdr:col>16</xdr:col>
      <xdr:colOff>215900</xdr:colOff>
      <xdr:row>12</xdr:row>
      <xdr:rowOff>171450</xdr:rowOff>
    </xdr:to>
    <xdr:sp macro="" textlink="">
      <xdr:nvSpPr>
        <xdr:cNvPr id="2" name="正方形/長方形 1">
          <a:extLst>
            <a:ext uri="{FF2B5EF4-FFF2-40B4-BE49-F238E27FC236}">
              <a16:creationId xmlns:a16="http://schemas.microsoft.com/office/drawing/2014/main" id="{00000000-0008-0000-2700-000002000000}"/>
            </a:ext>
          </a:extLst>
        </xdr:cNvPr>
        <xdr:cNvSpPr/>
      </xdr:nvSpPr>
      <xdr:spPr>
        <a:xfrm>
          <a:off x="9728200" y="2159000"/>
          <a:ext cx="2482850" cy="755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44450</xdr:colOff>
      <xdr:row>10</xdr:row>
      <xdr:rowOff>6350</xdr:rowOff>
    </xdr:from>
    <xdr:to>
      <xdr:col>13</xdr:col>
      <xdr:colOff>254000</xdr:colOff>
      <xdr:row>10</xdr:row>
      <xdr:rowOff>209550</xdr:rowOff>
    </xdr:to>
    <xdr:sp macro="" textlink="">
      <xdr:nvSpPr>
        <xdr:cNvPr id="3" name="楕円 2">
          <a:extLst>
            <a:ext uri="{FF2B5EF4-FFF2-40B4-BE49-F238E27FC236}">
              <a16:creationId xmlns:a16="http://schemas.microsoft.com/office/drawing/2014/main" id="{00000000-0008-0000-2700-000003000000}"/>
            </a:ext>
          </a:extLst>
        </xdr:cNvPr>
        <xdr:cNvSpPr/>
      </xdr:nvSpPr>
      <xdr:spPr>
        <a:xfrm>
          <a:off x="8420100" y="2292350"/>
          <a:ext cx="2095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266700</xdr:colOff>
      <xdr:row>5</xdr:row>
      <xdr:rowOff>31750</xdr:rowOff>
    </xdr:from>
    <xdr:to>
      <xdr:col>15</xdr:col>
      <xdr:colOff>476250</xdr:colOff>
      <xdr:row>6</xdr:row>
      <xdr:rowOff>6350</xdr:rowOff>
    </xdr:to>
    <xdr:sp macro="" textlink="">
      <xdr:nvSpPr>
        <xdr:cNvPr id="4" name="楕円 3">
          <a:extLst>
            <a:ext uri="{FF2B5EF4-FFF2-40B4-BE49-F238E27FC236}">
              <a16:creationId xmlns:a16="http://schemas.microsoft.com/office/drawing/2014/main" id="{00000000-0008-0000-2700-000004000000}"/>
            </a:ext>
          </a:extLst>
        </xdr:cNvPr>
        <xdr:cNvSpPr/>
      </xdr:nvSpPr>
      <xdr:spPr>
        <a:xfrm>
          <a:off x="10471150" y="1174750"/>
          <a:ext cx="2095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469900</xdr:colOff>
      <xdr:row>10</xdr:row>
      <xdr:rowOff>31750</xdr:rowOff>
    </xdr:from>
    <xdr:to>
      <xdr:col>18</xdr:col>
      <xdr:colOff>19050</xdr:colOff>
      <xdr:row>11</xdr:row>
      <xdr:rowOff>6350</xdr:rowOff>
    </xdr:to>
    <xdr:sp macro="" textlink="">
      <xdr:nvSpPr>
        <xdr:cNvPr id="5" name="楕円 4">
          <a:extLst>
            <a:ext uri="{FF2B5EF4-FFF2-40B4-BE49-F238E27FC236}">
              <a16:creationId xmlns:a16="http://schemas.microsoft.com/office/drawing/2014/main" id="{00000000-0008-0000-2700-000005000000}"/>
            </a:ext>
          </a:extLst>
        </xdr:cNvPr>
        <xdr:cNvSpPr/>
      </xdr:nvSpPr>
      <xdr:spPr>
        <a:xfrm>
          <a:off x="13112750" y="2317750"/>
          <a:ext cx="1968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149225</xdr:colOff>
      <xdr:row>7</xdr:row>
      <xdr:rowOff>57150</xdr:rowOff>
    </xdr:from>
    <xdr:to>
      <xdr:col>14</xdr:col>
      <xdr:colOff>133350</xdr:colOff>
      <xdr:row>10</xdr:row>
      <xdr:rowOff>6350</xdr:rowOff>
    </xdr:to>
    <xdr:cxnSp macro="">
      <xdr:nvCxnSpPr>
        <xdr:cNvPr id="6" name="直線矢印コネクタ 5">
          <a:extLst>
            <a:ext uri="{FF2B5EF4-FFF2-40B4-BE49-F238E27FC236}">
              <a16:creationId xmlns:a16="http://schemas.microsoft.com/office/drawing/2014/main" id="{00000000-0008-0000-2700-000006000000}"/>
            </a:ext>
          </a:extLst>
        </xdr:cNvPr>
        <xdr:cNvCxnSpPr>
          <a:stCxn id="3" idx="0"/>
          <a:endCxn id="8" idx="2"/>
        </xdr:cNvCxnSpPr>
      </xdr:nvCxnSpPr>
      <xdr:spPr>
        <a:xfrm flipV="1">
          <a:off x="8524875" y="1657350"/>
          <a:ext cx="733425" cy="6350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450850</xdr:colOff>
      <xdr:row>5</xdr:row>
      <xdr:rowOff>152400</xdr:rowOff>
    </xdr:from>
    <xdr:to>
      <xdr:col>16</xdr:col>
      <xdr:colOff>495300</xdr:colOff>
      <xdr:row>7</xdr:row>
      <xdr:rowOff>6350</xdr:rowOff>
    </xdr:to>
    <xdr:cxnSp macro="">
      <xdr:nvCxnSpPr>
        <xdr:cNvPr id="7" name="直線矢印コネクタ 6">
          <a:extLst>
            <a:ext uri="{FF2B5EF4-FFF2-40B4-BE49-F238E27FC236}">
              <a16:creationId xmlns:a16="http://schemas.microsoft.com/office/drawing/2014/main" id="{00000000-0008-0000-2700-000007000000}"/>
            </a:ext>
          </a:extLst>
        </xdr:cNvPr>
        <xdr:cNvCxnSpPr>
          <a:endCxn id="10" idx="2"/>
        </xdr:cNvCxnSpPr>
      </xdr:nvCxnSpPr>
      <xdr:spPr>
        <a:xfrm>
          <a:off x="10655300" y="1295400"/>
          <a:ext cx="1835150" cy="3111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133350</xdr:colOff>
      <xdr:row>6</xdr:row>
      <xdr:rowOff>184150</xdr:rowOff>
    </xdr:from>
    <xdr:to>
      <xdr:col>14</xdr:col>
      <xdr:colOff>330200</xdr:colOff>
      <xdr:row>7</xdr:row>
      <xdr:rowOff>158750</xdr:rowOff>
    </xdr:to>
    <xdr:sp macro="" textlink="">
      <xdr:nvSpPr>
        <xdr:cNvPr id="8" name="楕円 7">
          <a:extLst>
            <a:ext uri="{FF2B5EF4-FFF2-40B4-BE49-F238E27FC236}">
              <a16:creationId xmlns:a16="http://schemas.microsoft.com/office/drawing/2014/main" id="{00000000-0008-0000-2700-000008000000}"/>
            </a:ext>
          </a:extLst>
        </xdr:cNvPr>
        <xdr:cNvSpPr/>
      </xdr:nvSpPr>
      <xdr:spPr>
        <a:xfrm>
          <a:off x="9258300" y="1555750"/>
          <a:ext cx="1968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276225</xdr:colOff>
      <xdr:row>5</xdr:row>
      <xdr:rowOff>139700</xdr:rowOff>
    </xdr:from>
    <xdr:to>
      <xdr:col>15</xdr:col>
      <xdr:colOff>279400</xdr:colOff>
      <xdr:row>7</xdr:row>
      <xdr:rowOff>0</xdr:rowOff>
    </xdr:to>
    <xdr:cxnSp macro="">
      <xdr:nvCxnSpPr>
        <xdr:cNvPr id="9" name="直線矢印コネクタ 8">
          <a:extLst>
            <a:ext uri="{FF2B5EF4-FFF2-40B4-BE49-F238E27FC236}">
              <a16:creationId xmlns:a16="http://schemas.microsoft.com/office/drawing/2014/main" id="{00000000-0008-0000-2700-000009000000}"/>
            </a:ext>
          </a:extLst>
        </xdr:cNvPr>
        <xdr:cNvCxnSpPr/>
      </xdr:nvCxnSpPr>
      <xdr:spPr>
        <a:xfrm flipV="1">
          <a:off x="9401175" y="1282700"/>
          <a:ext cx="1082675" cy="3175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495300</xdr:colOff>
      <xdr:row>6</xdr:row>
      <xdr:rowOff>133350</xdr:rowOff>
    </xdr:from>
    <xdr:to>
      <xdr:col>17</xdr:col>
      <xdr:colOff>31750</xdr:colOff>
      <xdr:row>7</xdr:row>
      <xdr:rowOff>107950</xdr:rowOff>
    </xdr:to>
    <xdr:sp macro="" textlink="">
      <xdr:nvSpPr>
        <xdr:cNvPr id="10" name="楕円 9">
          <a:extLst>
            <a:ext uri="{FF2B5EF4-FFF2-40B4-BE49-F238E27FC236}">
              <a16:creationId xmlns:a16="http://schemas.microsoft.com/office/drawing/2014/main" id="{00000000-0008-0000-2700-00000A000000}"/>
            </a:ext>
          </a:extLst>
        </xdr:cNvPr>
        <xdr:cNvSpPr/>
      </xdr:nvSpPr>
      <xdr:spPr>
        <a:xfrm>
          <a:off x="12490450" y="1504950"/>
          <a:ext cx="184150" cy="2032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647700</xdr:colOff>
      <xdr:row>7</xdr:row>
      <xdr:rowOff>63500</xdr:rowOff>
    </xdr:from>
    <xdr:to>
      <xdr:col>17</xdr:col>
      <xdr:colOff>500588</xdr:colOff>
      <xdr:row>10</xdr:row>
      <xdr:rowOff>61508</xdr:rowOff>
    </xdr:to>
    <xdr:cxnSp macro="">
      <xdr:nvCxnSpPr>
        <xdr:cNvPr id="11" name="直線矢印コネクタ 10">
          <a:extLst>
            <a:ext uri="{FF2B5EF4-FFF2-40B4-BE49-F238E27FC236}">
              <a16:creationId xmlns:a16="http://schemas.microsoft.com/office/drawing/2014/main" id="{00000000-0008-0000-2700-00000B000000}"/>
            </a:ext>
          </a:extLst>
        </xdr:cNvPr>
        <xdr:cNvCxnSpPr>
          <a:endCxn id="5" idx="1"/>
        </xdr:cNvCxnSpPr>
      </xdr:nvCxnSpPr>
      <xdr:spPr>
        <a:xfrm>
          <a:off x="12642850" y="1663700"/>
          <a:ext cx="500588" cy="6838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142875</xdr:colOff>
      <xdr:row>41</xdr:row>
      <xdr:rowOff>228600</xdr:rowOff>
    </xdr:from>
    <xdr:to>
      <xdr:col>20</xdr:col>
      <xdr:colOff>123825</xdr:colOff>
      <xdr:row>43</xdr:row>
      <xdr:rowOff>19050</xdr:rowOff>
    </xdr:to>
    <xdr:sp macro="" textlink="">
      <xdr:nvSpPr>
        <xdr:cNvPr id="2" name="右矢印 1">
          <a:extLst>
            <a:ext uri="{FF2B5EF4-FFF2-40B4-BE49-F238E27FC236}">
              <a16:creationId xmlns:a16="http://schemas.microsoft.com/office/drawing/2014/main" id="{00000000-0008-0000-0300-000002000000}"/>
            </a:ext>
          </a:extLst>
        </xdr:cNvPr>
        <xdr:cNvSpPr/>
      </xdr:nvSpPr>
      <xdr:spPr>
        <a:xfrm>
          <a:off x="3514725" y="6372225"/>
          <a:ext cx="581025" cy="285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35</xdr:col>
      <xdr:colOff>161925</xdr:colOff>
      <xdr:row>6</xdr:row>
      <xdr:rowOff>0</xdr:rowOff>
    </xdr:from>
    <xdr:to>
      <xdr:col>60</xdr:col>
      <xdr:colOff>568921</xdr:colOff>
      <xdr:row>13</xdr:row>
      <xdr:rowOff>81668</xdr:rowOff>
    </xdr:to>
    <xdr:pic>
      <xdr:nvPicPr>
        <xdr:cNvPr id="10" name="図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7134225" y="1066800"/>
          <a:ext cx="5407621" cy="15485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396240</xdr:colOff>
      <xdr:row>60</xdr:row>
      <xdr:rowOff>164122</xdr:rowOff>
    </xdr:from>
    <xdr:to>
      <xdr:col>6</xdr:col>
      <xdr:colOff>674077</xdr:colOff>
      <xdr:row>62</xdr:row>
      <xdr:rowOff>95542</xdr:rowOff>
    </xdr:to>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3209778" y="8919795"/>
          <a:ext cx="1662626" cy="297766"/>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mn-ea"/>
              <a:ea typeface="+mn-ea"/>
            </a:rPr>
            <a:t>図１　方位の解釈の例１</a:t>
          </a:r>
        </a:p>
      </xdr:txBody>
    </xdr:sp>
    <xdr:clientData/>
  </xdr:twoCellAnchor>
  <xdr:twoCellAnchor>
    <xdr:from>
      <xdr:col>8</xdr:col>
      <xdr:colOff>300404</xdr:colOff>
      <xdr:row>60</xdr:row>
      <xdr:rowOff>156502</xdr:rowOff>
    </xdr:from>
    <xdr:to>
      <xdr:col>10</xdr:col>
      <xdr:colOff>581759</xdr:colOff>
      <xdr:row>62</xdr:row>
      <xdr:rowOff>87922</xdr:rowOff>
    </xdr:to>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5876192" y="8912175"/>
          <a:ext cx="1695452" cy="297766"/>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mn-ea"/>
              <a:ea typeface="+mn-ea"/>
            </a:rPr>
            <a:t>図２　方位の解釈の例２</a:t>
          </a:r>
        </a:p>
      </xdr:txBody>
    </xdr:sp>
    <xdr:clientData/>
  </xdr:twoCellAnchor>
  <mc:AlternateContent xmlns:mc="http://schemas.openxmlformats.org/markup-compatibility/2006">
    <mc:Choice xmlns:a14="http://schemas.microsoft.com/office/drawing/2010/main" Requires="a14">
      <xdr:twoCellAnchor editAs="oneCell">
        <xdr:from>
          <xdr:col>2</xdr:col>
          <xdr:colOff>393700</xdr:colOff>
          <xdr:row>33</xdr:row>
          <xdr:rowOff>38100</xdr:rowOff>
        </xdr:from>
        <xdr:to>
          <xdr:col>4</xdr:col>
          <xdr:colOff>298450</xdr:colOff>
          <xdr:row>34</xdr:row>
          <xdr:rowOff>107950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4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外壁断熱</a:t>
              </a:r>
            </a:p>
          </xdr:txBody>
        </xdr:sp>
        <xdr:clientData fLocksWithSheet="0"/>
      </xdr:twoCellAnchor>
    </mc:Choice>
    <mc:Fallback/>
  </mc:AlternateContent>
  <xdr:twoCellAnchor>
    <xdr:from>
      <xdr:col>4</xdr:col>
      <xdr:colOff>139211</xdr:colOff>
      <xdr:row>47</xdr:row>
      <xdr:rowOff>105265</xdr:rowOff>
    </xdr:from>
    <xdr:to>
      <xdr:col>7</xdr:col>
      <xdr:colOff>417634</xdr:colOff>
      <xdr:row>60</xdr:row>
      <xdr:rowOff>7326</xdr:rowOff>
    </xdr:to>
    <xdr:grpSp>
      <xdr:nvGrpSpPr>
        <xdr:cNvPr id="59" name="グループ化 58">
          <a:extLst>
            <a:ext uri="{FF2B5EF4-FFF2-40B4-BE49-F238E27FC236}">
              <a16:creationId xmlns:a16="http://schemas.microsoft.com/office/drawing/2014/main" id="{00000000-0008-0000-0400-00003B000000}"/>
            </a:ext>
          </a:extLst>
        </xdr:cNvPr>
        <xdr:cNvGrpSpPr/>
      </xdr:nvGrpSpPr>
      <xdr:grpSpPr>
        <a:xfrm>
          <a:off x="2717311" y="6544165"/>
          <a:ext cx="2177073" cy="2296011"/>
          <a:chOff x="2952749" y="6479688"/>
          <a:chExt cx="2351943" cy="2283311"/>
        </a:xfrm>
      </xdr:grpSpPr>
      <xdr:grpSp>
        <xdr:nvGrpSpPr>
          <xdr:cNvPr id="58" name="グループ化 57">
            <a:extLst>
              <a:ext uri="{FF2B5EF4-FFF2-40B4-BE49-F238E27FC236}">
                <a16:creationId xmlns:a16="http://schemas.microsoft.com/office/drawing/2014/main" id="{00000000-0008-0000-0400-00003A000000}"/>
              </a:ext>
            </a:extLst>
          </xdr:cNvPr>
          <xdr:cNvGrpSpPr/>
        </xdr:nvGrpSpPr>
        <xdr:grpSpPr>
          <a:xfrm>
            <a:off x="3033344" y="6479688"/>
            <a:ext cx="2271348" cy="2283311"/>
            <a:chOff x="3033344" y="6479688"/>
            <a:chExt cx="2271348" cy="2283311"/>
          </a:xfrm>
        </xdr:grpSpPr>
        <xdr:sp macro="" textlink="">
          <xdr:nvSpPr>
            <xdr:cNvPr id="2" name="正方形/長方形 1">
              <a:extLst>
                <a:ext uri="{FF2B5EF4-FFF2-40B4-BE49-F238E27FC236}">
                  <a16:creationId xmlns:a16="http://schemas.microsoft.com/office/drawing/2014/main" id="{00000000-0008-0000-0400-000002000000}"/>
                </a:ext>
              </a:extLst>
            </xdr:cNvPr>
            <xdr:cNvSpPr/>
          </xdr:nvSpPr>
          <xdr:spPr>
            <a:xfrm rot="720000">
              <a:off x="3575002" y="7148045"/>
              <a:ext cx="1060066" cy="983714"/>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cxnSp macro="">
          <xdr:nvCxnSpPr>
            <xdr:cNvPr id="4" name="直線コネクタ 3">
              <a:extLst>
                <a:ext uri="{FF2B5EF4-FFF2-40B4-BE49-F238E27FC236}">
                  <a16:creationId xmlns:a16="http://schemas.microsoft.com/office/drawing/2014/main" id="{00000000-0008-0000-0400-000004000000}"/>
                </a:ext>
              </a:extLst>
            </xdr:cNvPr>
            <xdr:cNvCxnSpPr/>
          </xdr:nvCxnSpPr>
          <xdr:spPr>
            <a:xfrm>
              <a:off x="3165023" y="7597360"/>
              <a:ext cx="1873761" cy="13783"/>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00000000-0008-0000-0400-000005000000}"/>
                </a:ext>
              </a:extLst>
            </xdr:cNvPr>
            <xdr:cNvCxnSpPr/>
          </xdr:nvCxnSpPr>
          <xdr:spPr>
            <a:xfrm>
              <a:off x="4055499" y="6803211"/>
              <a:ext cx="4953" cy="1709482"/>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400-000008000000}"/>
                </a:ext>
              </a:extLst>
            </xdr:cNvPr>
            <xdr:cNvCxnSpPr/>
          </xdr:nvCxnSpPr>
          <xdr:spPr>
            <a:xfrm rot="2700000">
              <a:off x="3025634" y="7674930"/>
              <a:ext cx="2176138"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400-000009000000}"/>
                </a:ext>
              </a:extLst>
            </xdr:cNvPr>
            <xdr:cNvCxnSpPr/>
          </xdr:nvCxnSpPr>
          <xdr:spPr>
            <a:xfrm rot="18900000">
              <a:off x="3215867" y="7610713"/>
              <a:ext cx="1687933"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2" name="四角形吹き出し 11">
              <a:extLst>
                <a:ext uri="{FF2B5EF4-FFF2-40B4-BE49-F238E27FC236}">
                  <a16:creationId xmlns:a16="http://schemas.microsoft.com/office/drawing/2014/main" id="{00000000-0008-0000-0400-00000C000000}"/>
                </a:ext>
              </a:extLst>
            </xdr:cNvPr>
            <xdr:cNvSpPr/>
          </xdr:nvSpPr>
          <xdr:spPr>
            <a:xfrm>
              <a:off x="3033344" y="6479688"/>
              <a:ext cx="682854" cy="230604"/>
            </a:xfrm>
            <a:prstGeom prst="wedgeRectCallout">
              <a:avLst>
                <a:gd name="adj1" fmla="val 36718"/>
                <a:gd name="adj2" fmla="val 271978"/>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ln>
                    <a:solidFill>
                      <a:sysClr val="windowText" lastClr="000000"/>
                    </a:solidFill>
                  </a:ln>
                  <a:solidFill>
                    <a:sysClr val="windowText" lastClr="000000"/>
                  </a:solidFill>
                </a:rPr>
                <a:t>対策面</a:t>
              </a:r>
            </a:p>
          </xdr:txBody>
        </xdr:sp>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3911639" y="6513341"/>
              <a:ext cx="193190"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a:t>
              </a:r>
            </a:p>
          </xdr:txBody>
        </xdr:sp>
        <xdr:sp macro="" textlink="">
          <xdr:nvSpPr>
            <xdr:cNvPr id="32" name="テキスト ボックス 31">
              <a:extLst>
                <a:ext uri="{FF2B5EF4-FFF2-40B4-BE49-F238E27FC236}">
                  <a16:creationId xmlns:a16="http://schemas.microsoft.com/office/drawing/2014/main" id="{00000000-0008-0000-0400-000020000000}"/>
                </a:ext>
              </a:extLst>
            </xdr:cNvPr>
            <xdr:cNvSpPr txBox="1"/>
          </xdr:nvSpPr>
          <xdr:spPr>
            <a:xfrm>
              <a:off x="5057226" y="7502707"/>
              <a:ext cx="149980" cy="168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東</a:t>
              </a:r>
            </a:p>
          </xdr:txBody>
        </xdr:sp>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3054995" y="6732083"/>
              <a:ext cx="512577" cy="2486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北西</a:t>
              </a:r>
            </a:p>
          </xdr:txBody>
        </xdr:sp>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4553333" y="6714567"/>
              <a:ext cx="578882" cy="257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北東</a:t>
              </a:r>
            </a:p>
          </xdr:txBody>
        </xdr:sp>
        <xdr:sp macro="" textlink="">
          <xdr:nvSpPr>
            <xdr:cNvPr id="35" name="テキスト ボックス 34">
              <a:extLst>
                <a:ext uri="{FF2B5EF4-FFF2-40B4-BE49-F238E27FC236}">
                  <a16:creationId xmlns:a16="http://schemas.microsoft.com/office/drawing/2014/main" id="{00000000-0008-0000-0400-000023000000}"/>
                </a:ext>
              </a:extLst>
            </xdr:cNvPr>
            <xdr:cNvSpPr txBox="1"/>
          </xdr:nvSpPr>
          <xdr:spPr>
            <a:xfrm>
              <a:off x="3095927" y="7641718"/>
              <a:ext cx="193190"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西</a:t>
              </a:r>
            </a:p>
          </xdr:txBody>
        </xdr:sp>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4731662" y="8355063"/>
              <a:ext cx="573030" cy="224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南東</a:t>
              </a:r>
            </a:p>
          </xdr:txBody>
        </xdr:sp>
        <xdr:sp macro="" textlink="">
          <xdr:nvSpPr>
            <xdr:cNvPr id="37" name="テキスト ボックス 36">
              <a:extLst>
                <a:ext uri="{FF2B5EF4-FFF2-40B4-BE49-F238E27FC236}">
                  <a16:creationId xmlns:a16="http://schemas.microsoft.com/office/drawing/2014/main" id="{00000000-0008-0000-0400-000025000000}"/>
                </a:ext>
              </a:extLst>
            </xdr:cNvPr>
            <xdr:cNvSpPr txBox="1"/>
          </xdr:nvSpPr>
          <xdr:spPr>
            <a:xfrm>
              <a:off x="3215866" y="8296684"/>
              <a:ext cx="506537" cy="230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南西</a:t>
              </a:r>
            </a:p>
          </xdr:txBody>
        </xdr:sp>
        <xdr:sp macro="" textlink="">
          <xdr:nvSpPr>
            <xdr:cNvPr id="38" name="テキスト ボックス 37">
              <a:extLst>
                <a:ext uri="{FF2B5EF4-FFF2-40B4-BE49-F238E27FC236}">
                  <a16:creationId xmlns:a16="http://schemas.microsoft.com/office/drawing/2014/main" id="{00000000-0008-0000-0400-000026000000}"/>
                </a:ext>
              </a:extLst>
            </xdr:cNvPr>
            <xdr:cNvSpPr txBox="1"/>
          </xdr:nvSpPr>
          <xdr:spPr>
            <a:xfrm>
              <a:off x="3901594" y="8471825"/>
              <a:ext cx="193190"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a:t>
              </a:r>
            </a:p>
          </xdr:txBody>
        </xdr:sp>
        <xdr:cxnSp macro="">
          <xdr:nvCxnSpPr>
            <xdr:cNvPr id="6" name="直線コネクタ 5">
              <a:extLst>
                <a:ext uri="{FF2B5EF4-FFF2-40B4-BE49-F238E27FC236}">
                  <a16:creationId xmlns:a16="http://schemas.microsoft.com/office/drawing/2014/main" id="{00000000-0008-0000-0400-000006000000}"/>
                </a:ext>
              </a:extLst>
            </xdr:cNvPr>
            <xdr:cNvCxnSpPr/>
          </xdr:nvCxnSpPr>
          <xdr:spPr>
            <a:xfrm flipH="1" flipV="1">
              <a:off x="3106499" y="7380985"/>
              <a:ext cx="951031" cy="224102"/>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rot="720000">
              <a:off x="3508856" y="7388714"/>
              <a:ext cx="95103" cy="92732"/>
            </a:xfrm>
            <a:prstGeom prst="rect">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円弧 39">
              <a:extLst>
                <a:ext uri="{FF2B5EF4-FFF2-40B4-BE49-F238E27FC236}">
                  <a16:creationId xmlns:a16="http://schemas.microsoft.com/office/drawing/2014/main" id="{00000000-0008-0000-0400-000028000000}"/>
                </a:ext>
              </a:extLst>
            </xdr:cNvPr>
            <xdr:cNvSpPr/>
          </xdr:nvSpPr>
          <xdr:spPr>
            <a:xfrm flipH="1">
              <a:off x="3252809" y="7427352"/>
              <a:ext cx="219468" cy="401838"/>
            </a:xfrm>
            <a:prstGeom prst="arc">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3260126" y="7404167"/>
              <a:ext cx="270678"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α</a:t>
              </a:r>
              <a:endParaRPr kumimoji="1" lang="ja-JP" altLang="en-US" sz="900" b="1">
                <a:latin typeface="+mn-ea"/>
                <a:ea typeface="+mn-ea"/>
              </a:endParaRPr>
            </a:p>
          </xdr:txBody>
        </xdr:sp>
      </xdr:grpSp>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a:off x="2952749" y="7400192"/>
            <a:ext cx="593481"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12°</a:t>
            </a:r>
            <a:endParaRPr kumimoji="1" lang="ja-JP" altLang="en-US" sz="900" b="1">
              <a:latin typeface="+mn-ea"/>
              <a:ea typeface="+mn-ea"/>
            </a:endParaRPr>
          </a:p>
        </xdr:txBody>
      </xdr:sp>
    </xdr:grpSp>
    <xdr:clientData/>
  </xdr:twoCellAnchor>
  <xdr:twoCellAnchor>
    <xdr:from>
      <xdr:col>7</xdr:col>
      <xdr:colOff>402980</xdr:colOff>
      <xdr:row>47</xdr:row>
      <xdr:rowOff>154693</xdr:rowOff>
    </xdr:from>
    <xdr:to>
      <xdr:col>11</xdr:col>
      <xdr:colOff>315354</xdr:colOff>
      <xdr:row>60</xdr:row>
      <xdr:rowOff>1169</xdr:rowOff>
    </xdr:to>
    <xdr:grpSp>
      <xdr:nvGrpSpPr>
        <xdr:cNvPr id="63" name="グループ化 62">
          <a:extLst>
            <a:ext uri="{FF2B5EF4-FFF2-40B4-BE49-F238E27FC236}">
              <a16:creationId xmlns:a16="http://schemas.microsoft.com/office/drawing/2014/main" id="{00000000-0008-0000-0400-00003F000000}"/>
            </a:ext>
          </a:extLst>
        </xdr:cNvPr>
        <xdr:cNvGrpSpPr/>
      </xdr:nvGrpSpPr>
      <xdr:grpSpPr>
        <a:xfrm>
          <a:off x="4879730" y="6593593"/>
          <a:ext cx="2236474" cy="2240426"/>
          <a:chOff x="5450608" y="6529116"/>
          <a:chExt cx="2528708" cy="2227726"/>
        </a:xfrm>
      </xdr:grpSpPr>
      <xdr:grpSp>
        <xdr:nvGrpSpPr>
          <xdr:cNvPr id="57" name="グループ化 56">
            <a:extLst>
              <a:ext uri="{FF2B5EF4-FFF2-40B4-BE49-F238E27FC236}">
                <a16:creationId xmlns:a16="http://schemas.microsoft.com/office/drawing/2014/main" id="{00000000-0008-0000-0400-000039000000}"/>
              </a:ext>
            </a:extLst>
          </xdr:cNvPr>
          <xdr:cNvGrpSpPr/>
        </xdr:nvGrpSpPr>
        <xdr:grpSpPr>
          <a:xfrm>
            <a:off x="5450608" y="6529116"/>
            <a:ext cx="2528708" cy="2227726"/>
            <a:chOff x="7201739" y="6756253"/>
            <a:chExt cx="2528707" cy="2227726"/>
          </a:xfrm>
        </xdr:grpSpPr>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rot="1818140">
              <a:off x="7797209" y="7334658"/>
              <a:ext cx="1185691" cy="983319"/>
            </a:xfrm>
            <a:prstGeom prst="rect">
              <a:avLst/>
            </a:prstGeom>
            <a:solidFill>
              <a:sysClr val="window" lastClr="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cxnSp macro="">
          <xdr:nvCxnSpPr>
            <xdr:cNvPr id="15" name="直線コネクタ 14">
              <a:extLst>
                <a:ext uri="{FF2B5EF4-FFF2-40B4-BE49-F238E27FC236}">
                  <a16:creationId xmlns:a16="http://schemas.microsoft.com/office/drawing/2014/main" id="{00000000-0008-0000-0400-00000F000000}"/>
                </a:ext>
              </a:extLst>
            </xdr:cNvPr>
            <xdr:cNvCxnSpPr/>
          </xdr:nvCxnSpPr>
          <xdr:spPr>
            <a:xfrm>
              <a:off x="7567271" y="7824860"/>
              <a:ext cx="1900430" cy="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400-000010000000}"/>
                </a:ext>
              </a:extLst>
            </xdr:cNvPr>
            <xdr:cNvCxnSpPr/>
          </xdr:nvCxnSpPr>
          <xdr:spPr>
            <a:xfrm flipH="1">
              <a:off x="8369275" y="6990352"/>
              <a:ext cx="0" cy="1754140"/>
            </a:xfrm>
            <a:prstGeom prst="line">
              <a:avLst/>
            </a:prstGeom>
            <a:ln w="1270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400-000011000000}"/>
                </a:ext>
              </a:extLst>
            </xdr:cNvPr>
            <xdr:cNvCxnSpPr/>
          </xdr:nvCxnSpPr>
          <xdr:spPr>
            <a:xfrm rot="2700000">
              <a:off x="7339524" y="7890511"/>
              <a:ext cx="2186937"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400-000012000000}"/>
                </a:ext>
              </a:extLst>
            </xdr:cNvPr>
            <xdr:cNvCxnSpPr/>
          </xdr:nvCxnSpPr>
          <xdr:spPr>
            <a:xfrm rot="18900000">
              <a:off x="7428757" y="7826320"/>
              <a:ext cx="1887963" cy="0"/>
            </a:xfrm>
            <a:prstGeom prst="line">
              <a:avLst/>
            </a:prstGeom>
            <a:ln w="9525">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21" name="四角形吹き出し 20">
              <a:extLst>
                <a:ext uri="{FF2B5EF4-FFF2-40B4-BE49-F238E27FC236}">
                  <a16:creationId xmlns:a16="http://schemas.microsoft.com/office/drawing/2014/main" id="{00000000-0008-0000-0400-000015000000}"/>
                </a:ext>
              </a:extLst>
            </xdr:cNvPr>
            <xdr:cNvSpPr/>
          </xdr:nvSpPr>
          <xdr:spPr>
            <a:xfrm>
              <a:off x="7414845" y="6756253"/>
              <a:ext cx="644640" cy="204323"/>
            </a:xfrm>
            <a:prstGeom prst="wedgeRectCallout">
              <a:avLst>
                <a:gd name="adj1" fmla="val 41541"/>
                <a:gd name="adj2" fmla="val 188693"/>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ln>
                    <a:solidFill>
                      <a:sysClr val="windowText" lastClr="000000"/>
                    </a:solidFill>
                  </a:ln>
                  <a:solidFill>
                    <a:sysClr val="windowText" lastClr="000000"/>
                  </a:solidFill>
                </a:rPr>
                <a:t>対策面</a:t>
              </a:r>
            </a:p>
          </xdr:txBody>
        </xdr:sp>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8200940" y="6763042"/>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a:t>
              </a:r>
            </a:p>
          </xdr:txBody>
        </xdr:sp>
        <xdr:sp macro="" textlink="">
          <xdr:nvSpPr>
            <xdr:cNvPr id="23" name="テキスト ボックス 22">
              <a:extLst>
                <a:ext uri="{FF2B5EF4-FFF2-40B4-BE49-F238E27FC236}">
                  <a16:creationId xmlns:a16="http://schemas.microsoft.com/office/drawing/2014/main" id="{00000000-0008-0000-0400-000017000000}"/>
                </a:ext>
              </a:extLst>
            </xdr:cNvPr>
            <xdr:cNvSpPr txBox="1"/>
          </xdr:nvSpPr>
          <xdr:spPr>
            <a:xfrm>
              <a:off x="9451079" y="7706687"/>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東</a:t>
              </a:r>
            </a:p>
          </xdr:txBody>
        </xdr:sp>
        <xdr:sp macro="" textlink="">
          <xdr:nvSpPr>
            <xdr:cNvPr id="24" name="テキスト ボックス 23">
              <a:extLst>
                <a:ext uri="{FF2B5EF4-FFF2-40B4-BE49-F238E27FC236}">
                  <a16:creationId xmlns:a16="http://schemas.microsoft.com/office/drawing/2014/main" id="{00000000-0008-0000-0400-000018000000}"/>
                </a:ext>
              </a:extLst>
            </xdr:cNvPr>
            <xdr:cNvSpPr txBox="1"/>
          </xdr:nvSpPr>
          <xdr:spPr>
            <a:xfrm>
              <a:off x="7201739" y="6929404"/>
              <a:ext cx="631484" cy="218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北西</a:t>
              </a:r>
            </a:p>
          </xdr:txBody>
        </xdr:sp>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8935802" y="6921087"/>
              <a:ext cx="583213" cy="2089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北東</a:t>
              </a:r>
            </a:p>
          </xdr:txBody>
        </xdr:sp>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7280028" y="7701722"/>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西</a:t>
              </a:r>
            </a:p>
          </xdr:txBody>
        </xdr:sp>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9135264" y="8558700"/>
              <a:ext cx="595182" cy="233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南東</a:t>
              </a:r>
            </a:p>
          </xdr:txBody>
        </xdr:sp>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7439836" y="8500345"/>
              <a:ext cx="556879" cy="250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南西</a:t>
              </a:r>
            </a:p>
          </xdr:txBody>
        </xdr:sp>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8214938" y="8649722"/>
              <a:ext cx="216084" cy="211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ja-JP" altLang="en-US" sz="900">
                  <a:latin typeface="+mn-ea"/>
                  <a:ea typeface="+mn-ea"/>
                </a:rPr>
                <a:t>南</a:t>
              </a:r>
            </a:p>
          </xdr:txBody>
        </xdr:sp>
        <xdr:cxnSp macro="">
          <xdr:nvCxnSpPr>
            <xdr:cNvPr id="56" name="直線コネクタ 55">
              <a:extLst>
                <a:ext uri="{FF2B5EF4-FFF2-40B4-BE49-F238E27FC236}">
                  <a16:creationId xmlns:a16="http://schemas.microsoft.com/office/drawing/2014/main" id="{00000000-0008-0000-0400-000038000000}"/>
                </a:ext>
              </a:extLst>
            </xdr:cNvPr>
            <xdr:cNvCxnSpPr/>
          </xdr:nvCxnSpPr>
          <xdr:spPr>
            <a:xfrm flipH="1" flipV="1">
              <a:off x="7612673" y="7385538"/>
              <a:ext cx="747349" cy="432289"/>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60" name="正方形/長方形 59">
              <a:extLst>
                <a:ext uri="{FF2B5EF4-FFF2-40B4-BE49-F238E27FC236}">
                  <a16:creationId xmlns:a16="http://schemas.microsoft.com/office/drawing/2014/main" id="{00000000-0008-0000-0400-00003C000000}"/>
                </a:ext>
              </a:extLst>
            </xdr:cNvPr>
            <xdr:cNvSpPr/>
          </xdr:nvSpPr>
          <xdr:spPr>
            <a:xfrm rot="1800000">
              <a:off x="7803174" y="7422173"/>
              <a:ext cx="95250" cy="87923"/>
            </a:xfrm>
            <a:prstGeom prst="rect">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1" name="円弧 60">
              <a:extLst>
                <a:ext uri="{FF2B5EF4-FFF2-40B4-BE49-F238E27FC236}">
                  <a16:creationId xmlns:a16="http://schemas.microsoft.com/office/drawing/2014/main" id="{00000000-0008-0000-0400-00003D000000}"/>
                </a:ext>
              </a:extLst>
            </xdr:cNvPr>
            <xdr:cNvSpPr/>
          </xdr:nvSpPr>
          <xdr:spPr>
            <a:xfrm flipH="1">
              <a:off x="7605346" y="7510095"/>
              <a:ext cx="293077" cy="549519"/>
            </a:xfrm>
            <a:prstGeom prst="arc">
              <a:avLst>
                <a:gd name="adj1" fmla="val 16200000"/>
                <a:gd name="adj2" fmla="val 600488"/>
              </a:avLst>
            </a:prstGeom>
            <a:ln>
              <a:solidFill>
                <a:srgbClr val="FF00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62" name="テキスト ボックス 61">
              <a:extLst>
                <a:ext uri="{FF2B5EF4-FFF2-40B4-BE49-F238E27FC236}">
                  <a16:creationId xmlns:a16="http://schemas.microsoft.com/office/drawing/2014/main" id="{00000000-0008-0000-0400-00003E000000}"/>
                </a:ext>
              </a:extLst>
            </xdr:cNvPr>
            <xdr:cNvSpPr txBox="1"/>
          </xdr:nvSpPr>
          <xdr:spPr>
            <a:xfrm>
              <a:off x="7554057" y="7539404"/>
              <a:ext cx="271097" cy="200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α</a:t>
              </a:r>
              <a:endParaRPr kumimoji="1" lang="ja-JP" altLang="en-US" sz="900" b="1">
                <a:latin typeface="+mn-ea"/>
                <a:ea typeface="+mn-ea"/>
              </a:endParaRPr>
            </a:p>
          </xdr:txBody>
        </xdr:sp>
      </xdr:grpSp>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a:off x="5568463" y="7253654"/>
            <a:ext cx="593481" cy="211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noAutofit/>
          </a:bodyPr>
          <a:lstStyle/>
          <a:p>
            <a:r>
              <a:rPr kumimoji="1" lang="en-US" altLang="ja-JP" sz="900" b="1">
                <a:latin typeface="+mn-ea"/>
                <a:ea typeface="+mn-ea"/>
              </a:rPr>
              <a:t>30°</a:t>
            </a:r>
            <a:endParaRPr kumimoji="1" lang="ja-JP" altLang="en-US" sz="900" b="1">
              <a:latin typeface="+mn-ea"/>
              <a:ea typeface="+mn-ea"/>
            </a:endParaRPr>
          </a:p>
        </xdr:txBody>
      </xdr:sp>
    </xdr:grpSp>
    <xdr:clientData/>
  </xdr:twoCellAnchor>
  <xdr:twoCellAnchor editAs="oneCell">
    <xdr:from>
      <xdr:col>12</xdr:col>
      <xdr:colOff>0</xdr:colOff>
      <xdr:row>74</xdr:row>
      <xdr:rowOff>111125</xdr:rowOff>
    </xdr:from>
    <xdr:to>
      <xdr:col>32</xdr:col>
      <xdr:colOff>201780</xdr:colOff>
      <xdr:row>84</xdr:row>
      <xdr:rowOff>228492</xdr:rowOff>
    </xdr:to>
    <xdr:pic>
      <xdr:nvPicPr>
        <xdr:cNvPr id="19" name="図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
        <a:stretch>
          <a:fillRect/>
        </a:stretch>
      </xdr:blipFill>
      <xdr:spPr>
        <a:xfrm>
          <a:off x="7191375" y="11122025"/>
          <a:ext cx="6488280" cy="1641367"/>
        </a:xfrm>
        <a:prstGeom prst="rect">
          <a:avLst/>
        </a:prstGeom>
      </xdr:spPr>
    </xdr:pic>
    <xdr:clientData/>
  </xdr:twoCellAnchor>
  <xdr:twoCellAnchor editAs="oneCell">
    <xdr:from>
      <xdr:col>11</xdr:col>
      <xdr:colOff>371475</xdr:colOff>
      <xdr:row>94</xdr:row>
      <xdr:rowOff>53975</xdr:rowOff>
    </xdr:from>
    <xdr:to>
      <xdr:col>32</xdr:col>
      <xdr:colOff>164694</xdr:colOff>
      <xdr:row>105</xdr:row>
      <xdr:rowOff>134002</xdr:rowOff>
    </xdr:to>
    <xdr:pic>
      <xdr:nvPicPr>
        <xdr:cNvPr id="41" name="図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2"/>
        <a:stretch>
          <a:fillRect/>
        </a:stretch>
      </xdr:blipFill>
      <xdr:spPr>
        <a:xfrm>
          <a:off x="7172325" y="14417675"/>
          <a:ext cx="6470244" cy="1680227"/>
        </a:xfrm>
        <a:prstGeom prst="rect">
          <a:avLst/>
        </a:prstGeom>
      </xdr:spPr>
    </xdr:pic>
    <xdr:clientData/>
  </xdr:twoCellAnchor>
  <xdr:twoCellAnchor>
    <xdr:from>
      <xdr:col>0</xdr:col>
      <xdr:colOff>171450</xdr:colOff>
      <xdr:row>2</xdr:row>
      <xdr:rowOff>3174</xdr:rowOff>
    </xdr:from>
    <xdr:to>
      <xdr:col>10</xdr:col>
      <xdr:colOff>419100</xdr:colOff>
      <xdr:row>4</xdr:row>
      <xdr:rowOff>203199</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171450" y="409574"/>
          <a:ext cx="6470650" cy="555625"/>
        </a:xfrm>
        <a:prstGeom prst="rect">
          <a:avLst/>
        </a:prstGeom>
        <a:noFill/>
        <a:ln w="19050">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447675</xdr:colOff>
      <xdr:row>30</xdr:row>
      <xdr:rowOff>44450</xdr:rowOff>
    </xdr:from>
    <xdr:to>
      <xdr:col>18</xdr:col>
      <xdr:colOff>539750</xdr:colOff>
      <xdr:row>33</xdr:row>
      <xdr:rowOff>107950</xdr:rowOff>
    </xdr:to>
    <xdr:sp macro="" textlink="">
      <xdr:nvSpPr>
        <xdr:cNvPr id="10" name="四角形: 角を丸くする 9">
          <a:extLst>
            <a:ext uri="{FF2B5EF4-FFF2-40B4-BE49-F238E27FC236}">
              <a16:creationId xmlns:a16="http://schemas.microsoft.com/office/drawing/2014/main" id="{00000000-0008-0000-0400-00000A000000}"/>
            </a:ext>
          </a:extLst>
        </xdr:cNvPr>
        <xdr:cNvSpPr/>
      </xdr:nvSpPr>
      <xdr:spPr>
        <a:xfrm>
          <a:off x="8296275" y="4302125"/>
          <a:ext cx="4206875" cy="7112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117475</xdr:colOff>
      <xdr:row>48</xdr:row>
      <xdr:rowOff>114300</xdr:rowOff>
    </xdr:from>
    <xdr:to>
      <xdr:col>16</xdr:col>
      <xdr:colOff>250825</xdr:colOff>
      <xdr:row>55</xdr:row>
      <xdr:rowOff>161925</xdr:rowOff>
    </xdr:to>
    <xdr:sp macro="" textlink="">
      <xdr:nvSpPr>
        <xdr:cNvPr id="11" name="吹き出し: 角を丸めた四角形 10">
          <a:extLst>
            <a:ext uri="{FF2B5EF4-FFF2-40B4-BE49-F238E27FC236}">
              <a16:creationId xmlns:a16="http://schemas.microsoft.com/office/drawing/2014/main" id="{00000000-0008-0000-0400-00000B000000}"/>
            </a:ext>
          </a:extLst>
        </xdr:cNvPr>
        <xdr:cNvSpPr/>
      </xdr:nvSpPr>
      <xdr:spPr>
        <a:xfrm>
          <a:off x="8651875" y="7105650"/>
          <a:ext cx="2190750" cy="1381125"/>
        </a:xfrm>
        <a:prstGeom prst="wedgeRoundRectCallout">
          <a:avLst>
            <a:gd name="adj1" fmla="val -86242"/>
            <a:gd name="adj2" fmla="val 98120"/>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屋根遮熱、屋根断熱入力時のセルの着色変化が出来ない。</a:t>
          </a:r>
          <a:r>
            <a:rPr lang="ja-JP" altLang="en-US" sz="1100" b="0" i="0" u="none" strike="noStrike">
              <a:solidFill>
                <a:srgbClr val="FF0000"/>
              </a:solidFill>
              <a:effectLst/>
              <a:latin typeface="+mn-lt"/>
              <a:ea typeface="+mn-ea"/>
              <a:cs typeface="+mn-cs"/>
            </a:rPr>
            <a:t>　</a:t>
          </a:r>
          <a:r>
            <a:rPr lang="ja-JP" altLang="en-US">
              <a:solidFill>
                <a:srgbClr val="FF0000"/>
              </a:solidFill>
            </a:rPr>
            <a:t> 新規追加の「３市の屋根遮熱と屋根断熱」のリンクの確認</a:t>
          </a:r>
          <a:endParaRPr kumimoji="1" lang="ja-JP" altLang="en-US" sz="1100">
            <a:solidFill>
              <a:srgbClr val="FF0000"/>
            </a:solidFill>
          </a:endParaRPr>
        </a:p>
      </xdr:txBody>
    </xdr:sp>
    <xdr:clientData/>
  </xdr:twoCellAnchor>
  <xdr:twoCellAnchor>
    <xdr:from>
      <xdr:col>13</xdr:col>
      <xdr:colOff>298450</xdr:colOff>
      <xdr:row>67</xdr:row>
      <xdr:rowOff>0</xdr:rowOff>
    </xdr:from>
    <xdr:to>
      <xdr:col>15</xdr:col>
      <xdr:colOff>641350</xdr:colOff>
      <xdr:row>73</xdr:row>
      <xdr:rowOff>215900</xdr:rowOff>
    </xdr:to>
    <xdr:sp macro="" textlink="">
      <xdr:nvSpPr>
        <xdr:cNvPr id="65" name="吹き出し: 角を丸めた四角形 64">
          <a:extLst>
            <a:ext uri="{FF2B5EF4-FFF2-40B4-BE49-F238E27FC236}">
              <a16:creationId xmlns:a16="http://schemas.microsoft.com/office/drawing/2014/main" id="{00000000-0008-0000-0400-000041000000}"/>
            </a:ext>
          </a:extLst>
        </xdr:cNvPr>
        <xdr:cNvSpPr/>
      </xdr:nvSpPr>
      <xdr:spPr>
        <a:xfrm>
          <a:off x="8832850" y="11734800"/>
          <a:ext cx="1714500" cy="1358900"/>
        </a:xfrm>
        <a:prstGeom prst="wedgeRoundRectCallout">
          <a:avLst>
            <a:gd name="adj1" fmla="val -117711"/>
            <a:gd name="adj2" fmla="val 26624"/>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朱記のように注意事項や文言の整合など修正をしています。</a:t>
          </a:r>
        </a:p>
      </xdr:txBody>
    </xdr:sp>
    <xdr:clientData/>
  </xdr:twoCellAnchor>
  <mc:AlternateContent xmlns:mc="http://schemas.openxmlformats.org/markup-compatibility/2006">
    <mc:Choice xmlns:a14="http://schemas.microsoft.com/office/drawing/2010/main" Requires="a14">
      <xdr:twoCellAnchor editAs="oneCell">
        <xdr:from>
          <xdr:col>2</xdr:col>
          <xdr:colOff>393700</xdr:colOff>
          <xdr:row>34</xdr:row>
          <xdr:rowOff>50800</xdr:rowOff>
        </xdr:from>
        <xdr:to>
          <xdr:col>4</xdr:col>
          <xdr:colOff>317500</xdr:colOff>
          <xdr:row>35</xdr:row>
          <xdr:rowOff>114300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4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外壁遮熱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33</xdr:row>
          <xdr:rowOff>50800</xdr:rowOff>
        </xdr:from>
        <xdr:to>
          <xdr:col>6</xdr:col>
          <xdr:colOff>508000</xdr:colOff>
          <xdr:row>34</xdr:row>
          <xdr:rowOff>107950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4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窓断熱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34</xdr:row>
          <xdr:rowOff>50800</xdr:rowOff>
        </xdr:from>
        <xdr:to>
          <xdr:col>6</xdr:col>
          <xdr:colOff>565150</xdr:colOff>
          <xdr:row>35</xdr:row>
          <xdr:rowOff>114300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4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窓遮熱</a:t>
              </a:r>
            </a:p>
          </xdr:txBody>
        </xdr:sp>
        <xdr:clientData fLocksWithSheet="0"/>
      </xdr:twoCellAnchor>
    </mc:Choice>
    <mc:Fallback/>
  </mc:AlternateContent>
  <xdr:twoCellAnchor>
    <xdr:from>
      <xdr:col>13</xdr:col>
      <xdr:colOff>358775</xdr:colOff>
      <xdr:row>20</xdr:row>
      <xdr:rowOff>82550</xdr:rowOff>
    </xdr:from>
    <xdr:to>
      <xdr:col>16</xdr:col>
      <xdr:colOff>530225</xdr:colOff>
      <xdr:row>27</xdr:row>
      <xdr:rowOff>168275</xdr:rowOff>
    </xdr:to>
    <xdr:sp macro="" textlink="">
      <xdr:nvSpPr>
        <xdr:cNvPr id="64" name="吹き出し: 角を丸めた四角形 63">
          <a:extLst>
            <a:ext uri="{FF2B5EF4-FFF2-40B4-BE49-F238E27FC236}">
              <a16:creationId xmlns:a16="http://schemas.microsoft.com/office/drawing/2014/main" id="{00000000-0008-0000-0400-000040000000}"/>
            </a:ext>
          </a:extLst>
        </xdr:cNvPr>
        <xdr:cNvSpPr/>
      </xdr:nvSpPr>
      <xdr:spPr>
        <a:xfrm>
          <a:off x="8893175" y="2501900"/>
          <a:ext cx="2228850" cy="1371600"/>
        </a:xfrm>
        <a:prstGeom prst="wedgeRoundRectCallout">
          <a:avLst>
            <a:gd name="adj1" fmla="val -87185"/>
            <a:gd name="adj2" fmla="val 37840"/>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屋根遮熱、屋根断熱を追加、動作確認要す</a:t>
          </a:r>
          <a:endParaRPr kumimoji="1" lang="en-US" altLang="ja-JP" sz="1100">
            <a:solidFill>
              <a:srgbClr val="FF0000"/>
            </a:solidFill>
          </a:endParaRPr>
        </a:p>
        <a:p>
          <a:pPr algn="l"/>
          <a:endParaRPr kumimoji="1" lang="en-US" altLang="ja-JP" sz="1100">
            <a:solidFill>
              <a:srgbClr val="FF0000"/>
            </a:solidFill>
          </a:endParaRPr>
        </a:p>
        <a:p>
          <a:pPr algn="l"/>
          <a:r>
            <a:rPr kumimoji="1" lang="ja-JP" altLang="en-US" sz="1100">
              <a:solidFill>
                <a:srgbClr val="FF0000"/>
              </a:solidFill>
            </a:rPr>
            <a:t>従来の”屋根”を”屋根遮熱”に変更、新たに”屋根断熱”を追加している。</a:t>
          </a:r>
        </a:p>
      </xdr:txBody>
    </xdr:sp>
    <xdr:clientData/>
  </xdr:twoCellAnchor>
  <mc:AlternateContent xmlns:mc="http://schemas.openxmlformats.org/markup-compatibility/2006">
    <mc:Choice xmlns:a14="http://schemas.microsoft.com/office/drawing/2010/main" Requires="a14">
      <xdr:twoCellAnchor editAs="oneCell">
        <xdr:from>
          <xdr:col>1</xdr:col>
          <xdr:colOff>165100</xdr:colOff>
          <xdr:row>34</xdr:row>
          <xdr:rowOff>50800</xdr:rowOff>
        </xdr:from>
        <xdr:to>
          <xdr:col>2</xdr:col>
          <xdr:colOff>203200</xdr:colOff>
          <xdr:row>35</xdr:row>
          <xdr:rowOff>114300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4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屋根遮熱</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33</xdr:row>
          <xdr:rowOff>38100</xdr:rowOff>
        </xdr:from>
        <xdr:to>
          <xdr:col>2</xdr:col>
          <xdr:colOff>203200</xdr:colOff>
          <xdr:row>34</xdr:row>
          <xdr:rowOff>107950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4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屋根断熱</a:t>
              </a:r>
            </a:p>
          </xdr:txBody>
        </xdr:sp>
        <xdr:clientData fLocksWithSheet="0"/>
      </xdr:twoCellAnchor>
    </mc:Choice>
    <mc:Fallback/>
  </mc:AlternateContent>
  <xdr:twoCellAnchor>
    <xdr:from>
      <xdr:col>7</xdr:col>
      <xdr:colOff>565150</xdr:colOff>
      <xdr:row>168</xdr:row>
      <xdr:rowOff>50800</xdr:rowOff>
    </xdr:from>
    <xdr:to>
      <xdr:col>12</xdr:col>
      <xdr:colOff>484468</xdr:colOff>
      <xdr:row>174</xdr:row>
      <xdr:rowOff>38100</xdr:rowOff>
    </xdr:to>
    <xdr:sp macro="" textlink="">
      <xdr:nvSpPr>
        <xdr:cNvPr id="68" name="吹き出し: 角を丸めた四角形 67">
          <a:extLst>
            <a:ext uri="{FF2B5EF4-FFF2-40B4-BE49-F238E27FC236}">
              <a16:creationId xmlns:a16="http://schemas.microsoft.com/office/drawing/2014/main" id="{00000000-0008-0000-0400-000044000000}"/>
            </a:ext>
          </a:extLst>
        </xdr:cNvPr>
        <xdr:cNvSpPr/>
      </xdr:nvSpPr>
      <xdr:spPr>
        <a:xfrm>
          <a:off x="5041900" y="33108900"/>
          <a:ext cx="2637118" cy="1358900"/>
        </a:xfrm>
        <a:prstGeom prst="wedgeRoundRectCallout">
          <a:avLst>
            <a:gd name="adj1" fmla="val -57545"/>
            <a:gd name="adj2" fmla="val -87642"/>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６つの選択肢が重複しないように</a:t>
          </a:r>
          <a:r>
            <a:rPr kumimoji="1" lang="en-US" altLang="ja-JP" sz="1100">
              <a:solidFill>
                <a:srgbClr val="FF0000"/>
              </a:solidFill>
            </a:rPr>
            <a:t>IF</a:t>
          </a:r>
          <a:r>
            <a:rPr kumimoji="1" lang="ja-JP" altLang="en-US" sz="1100">
              <a:solidFill>
                <a:srgbClr val="FF0000"/>
              </a:solidFill>
            </a:rPr>
            <a:t>関数を追加、対策を選択した項目があれば、１を、選択が無ければ０（ゼロ）とし、</a:t>
          </a:r>
          <a:r>
            <a:rPr kumimoji="1" lang="en-US" altLang="ja-JP" sz="1100">
              <a:solidFill>
                <a:srgbClr val="FF0000"/>
              </a:solidFill>
            </a:rPr>
            <a:t>3</a:t>
          </a:r>
          <a:r>
            <a:rPr kumimoji="1" lang="ja-JP" altLang="en-US" sz="1100">
              <a:solidFill>
                <a:srgbClr val="FF0000"/>
              </a:solidFill>
            </a:rPr>
            <a:t>市の値との掛け算に変更した。</a:t>
          </a:r>
        </a:p>
      </xdr:txBody>
    </xdr:sp>
    <xdr:clientData/>
  </xdr:twoCellAnchor>
  <xdr:twoCellAnchor>
    <xdr:from>
      <xdr:col>4</xdr:col>
      <xdr:colOff>641349</xdr:colOff>
      <xdr:row>29</xdr:row>
      <xdr:rowOff>177800</xdr:rowOff>
    </xdr:from>
    <xdr:to>
      <xdr:col>8</xdr:col>
      <xdr:colOff>212724</xdr:colOff>
      <xdr:row>31</xdr:row>
      <xdr:rowOff>149225</xdr:rowOff>
    </xdr:to>
    <xdr:sp macro="" textlink="">
      <xdr:nvSpPr>
        <xdr:cNvPr id="43" name="四角形: 角を丸くする 42">
          <a:hlinkClick xmlns:r="http://schemas.openxmlformats.org/officeDocument/2006/relationships" r:id="rId3"/>
          <a:extLst>
            <a:ext uri="{FF2B5EF4-FFF2-40B4-BE49-F238E27FC236}">
              <a16:creationId xmlns:a16="http://schemas.microsoft.com/office/drawing/2014/main" id="{00000000-0008-0000-0400-00002B000000}"/>
            </a:ext>
          </a:extLst>
        </xdr:cNvPr>
        <xdr:cNvSpPr/>
      </xdr:nvSpPr>
      <xdr:spPr>
        <a:xfrm>
          <a:off x="3213099" y="4197350"/>
          <a:ext cx="2095500" cy="381000"/>
        </a:xfrm>
        <a:prstGeom prst="roundRect">
          <a:avLst/>
        </a:prstGeom>
        <a:solidFill>
          <a:srgbClr val="FFFF9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対策部位の入力での注意点</a:t>
          </a:r>
        </a:p>
      </xdr:txBody>
    </xdr:sp>
    <xdr:clientData/>
  </xdr:twoCellAnchor>
  <xdr:twoCellAnchor>
    <xdr:from>
      <xdr:col>7</xdr:col>
      <xdr:colOff>520700</xdr:colOff>
      <xdr:row>68</xdr:row>
      <xdr:rowOff>206375</xdr:rowOff>
    </xdr:from>
    <xdr:to>
      <xdr:col>11</xdr:col>
      <xdr:colOff>295275</xdr:colOff>
      <xdr:row>70</xdr:row>
      <xdr:rowOff>92075</xdr:rowOff>
    </xdr:to>
    <xdr:sp macro="" textlink="">
      <xdr:nvSpPr>
        <xdr:cNvPr id="69" name="四角形: 角を丸くする 68">
          <a:hlinkClick xmlns:r="http://schemas.openxmlformats.org/officeDocument/2006/relationships" r:id="rId4"/>
          <a:extLst>
            <a:ext uri="{FF2B5EF4-FFF2-40B4-BE49-F238E27FC236}">
              <a16:creationId xmlns:a16="http://schemas.microsoft.com/office/drawing/2014/main" id="{00000000-0008-0000-0400-000045000000}"/>
            </a:ext>
          </a:extLst>
        </xdr:cNvPr>
        <xdr:cNvSpPr/>
      </xdr:nvSpPr>
      <xdr:spPr>
        <a:xfrm>
          <a:off x="4987925" y="10531475"/>
          <a:ext cx="2108200" cy="342900"/>
        </a:xfrm>
        <a:prstGeom prst="roundRect">
          <a:avLst/>
        </a:prstGeom>
        <a:solidFill>
          <a:schemeClr val="accent2">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屋根対策の入力での注意点</a:t>
          </a:r>
        </a:p>
      </xdr:txBody>
    </xdr:sp>
    <xdr:clientData/>
  </xdr:twoCellAnchor>
  <xdr:twoCellAnchor>
    <xdr:from>
      <xdr:col>7</xdr:col>
      <xdr:colOff>542925</xdr:colOff>
      <xdr:row>76</xdr:row>
      <xdr:rowOff>111125</xdr:rowOff>
    </xdr:from>
    <xdr:to>
      <xdr:col>11</xdr:col>
      <xdr:colOff>339725</xdr:colOff>
      <xdr:row>81</xdr:row>
      <xdr:rowOff>111125</xdr:rowOff>
    </xdr:to>
    <xdr:sp macro="" textlink="">
      <xdr:nvSpPr>
        <xdr:cNvPr id="70" name="四角形: 角を丸くする 69">
          <a:hlinkClick xmlns:r="http://schemas.openxmlformats.org/officeDocument/2006/relationships" r:id="rId5"/>
          <a:extLst>
            <a:ext uri="{FF2B5EF4-FFF2-40B4-BE49-F238E27FC236}">
              <a16:creationId xmlns:a16="http://schemas.microsoft.com/office/drawing/2014/main" id="{00000000-0008-0000-0400-000046000000}"/>
            </a:ext>
          </a:extLst>
        </xdr:cNvPr>
        <xdr:cNvSpPr/>
      </xdr:nvSpPr>
      <xdr:spPr>
        <a:xfrm>
          <a:off x="5010150" y="11579225"/>
          <a:ext cx="2130425" cy="381000"/>
        </a:xfrm>
        <a:prstGeom prst="round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bg1"/>
              </a:solidFill>
            </a:rPr>
            <a:t>入力値の簡易計算シートへ</a:t>
          </a:r>
        </a:p>
      </xdr:txBody>
    </xdr:sp>
    <xdr:clientData/>
  </xdr:twoCellAnchor>
  <xdr:twoCellAnchor>
    <xdr:from>
      <xdr:col>7</xdr:col>
      <xdr:colOff>542925</xdr:colOff>
      <xdr:row>85</xdr:row>
      <xdr:rowOff>34925</xdr:rowOff>
    </xdr:from>
    <xdr:to>
      <xdr:col>11</xdr:col>
      <xdr:colOff>292100</xdr:colOff>
      <xdr:row>86</xdr:row>
      <xdr:rowOff>187325</xdr:rowOff>
    </xdr:to>
    <xdr:sp macro="" textlink="">
      <xdr:nvSpPr>
        <xdr:cNvPr id="71" name="四角形: 角を丸くする 70">
          <a:hlinkClick xmlns:r="http://schemas.openxmlformats.org/officeDocument/2006/relationships" r:id="rId4"/>
          <a:extLst>
            <a:ext uri="{FF2B5EF4-FFF2-40B4-BE49-F238E27FC236}">
              <a16:creationId xmlns:a16="http://schemas.microsoft.com/office/drawing/2014/main" id="{00000000-0008-0000-0400-000047000000}"/>
            </a:ext>
          </a:extLst>
        </xdr:cNvPr>
        <xdr:cNvSpPr/>
      </xdr:nvSpPr>
      <xdr:spPr>
        <a:xfrm>
          <a:off x="5010150" y="12798425"/>
          <a:ext cx="2082800" cy="381000"/>
        </a:xfrm>
        <a:prstGeom prst="roundRect">
          <a:avLst/>
        </a:prstGeom>
        <a:solidFill>
          <a:schemeClr val="accent5">
            <a:lumMod val="40000"/>
            <a:lumOff val="6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外壁対策の入力での注意点</a:t>
          </a:r>
        </a:p>
      </xdr:txBody>
    </xdr:sp>
    <xdr:clientData/>
  </xdr:twoCellAnchor>
  <xdr:twoCellAnchor>
    <xdr:from>
      <xdr:col>7</xdr:col>
      <xdr:colOff>523875</xdr:colOff>
      <xdr:row>94</xdr:row>
      <xdr:rowOff>209550</xdr:rowOff>
    </xdr:from>
    <xdr:to>
      <xdr:col>11</xdr:col>
      <xdr:colOff>323850</xdr:colOff>
      <xdr:row>96</xdr:row>
      <xdr:rowOff>133350</xdr:rowOff>
    </xdr:to>
    <xdr:sp macro="" textlink="">
      <xdr:nvSpPr>
        <xdr:cNvPr id="72" name="四角形: 角を丸くする 71">
          <a:hlinkClick xmlns:r="http://schemas.openxmlformats.org/officeDocument/2006/relationships" r:id="rId5"/>
          <a:extLst>
            <a:ext uri="{FF2B5EF4-FFF2-40B4-BE49-F238E27FC236}">
              <a16:creationId xmlns:a16="http://schemas.microsoft.com/office/drawing/2014/main" id="{00000000-0008-0000-0400-000048000000}"/>
            </a:ext>
          </a:extLst>
        </xdr:cNvPr>
        <xdr:cNvSpPr/>
      </xdr:nvSpPr>
      <xdr:spPr>
        <a:xfrm>
          <a:off x="4991100" y="14573250"/>
          <a:ext cx="2133600" cy="381000"/>
        </a:xfrm>
        <a:prstGeom prst="roundRect">
          <a:avLst/>
        </a:prstGeom>
        <a:solidFill>
          <a:schemeClr val="tx2">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bg1"/>
              </a:solidFill>
            </a:rPr>
            <a:t>入力値の簡易計算シートへ</a:t>
          </a:r>
        </a:p>
      </xdr:txBody>
    </xdr:sp>
    <xdr:clientData/>
  </xdr:twoCellAnchor>
  <xdr:twoCellAnchor>
    <xdr:from>
      <xdr:col>8</xdr:col>
      <xdr:colOff>285750</xdr:colOff>
      <xdr:row>137</xdr:row>
      <xdr:rowOff>323849</xdr:rowOff>
    </xdr:from>
    <xdr:to>
      <xdr:col>10</xdr:col>
      <xdr:colOff>561975</xdr:colOff>
      <xdr:row>140</xdr:row>
      <xdr:rowOff>66674</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5381625" y="23164799"/>
          <a:ext cx="1400175" cy="581025"/>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285750</xdr:colOff>
      <xdr:row>139</xdr:row>
      <xdr:rowOff>4762</xdr:rowOff>
    </xdr:from>
    <xdr:to>
      <xdr:col>10</xdr:col>
      <xdr:colOff>561975</xdr:colOff>
      <xdr:row>139</xdr:row>
      <xdr:rowOff>4762</xdr:rowOff>
    </xdr:to>
    <xdr:cxnSp macro="">
      <xdr:nvCxnSpPr>
        <xdr:cNvPr id="44" name="直線コネクタ 43">
          <a:extLst>
            <a:ext uri="{FF2B5EF4-FFF2-40B4-BE49-F238E27FC236}">
              <a16:creationId xmlns:a16="http://schemas.microsoft.com/office/drawing/2014/main" id="{00000000-0008-0000-0400-00002C000000}"/>
            </a:ext>
          </a:extLst>
        </xdr:cNvPr>
        <xdr:cNvCxnSpPr>
          <a:stCxn id="3" idx="1"/>
          <a:endCxn id="3" idx="3"/>
        </xdr:cNvCxnSpPr>
      </xdr:nvCxnSpPr>
      <xdr:spPr>
        <a:xfrm>
          <a:off x="5381625" y="23455312"/>
          <a:ext cx="1400175" cy="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38100</xdr:colOff>
      <xdr:row>138</xdr:row>
      <xdr:rowOff>9525</xdr:rowOff>
    </xdr:from>
    <xdr:to>
      <xdr:col>10</xdr:col>
      <xdr:colOff>38100</xdr:colOff>
      <xdr:row>140</xdr:row>
      <xdr:rowOff>76200</xdr:rowOff>
    </xdr:to>
    <xdr:cxnSp macro="">
      <xdr:nvCxnSpPr>
        <xdr:cNvPr id="48" name="直線コネクタ 47">
          <a:extLst>
            <a:ext uri="{FF2B5EF4-FFF2-40B4-BE49-F238E27FC236}">
              <a16:creationId xmlns:a16="http://schemas.microsoft.com/office/drawing/2014/main" id="{00000000-0008-0000-0400-000030000000}"/>
            </a:ext>
          </a:extLst>
        </xdr:cNvPr>
        <xdr:cNvCxnSpPr/>
      </xdr:nvCxnSpPr>
      <xdr:spPr>
        <a:xfrm>
          <a:off x="6257925" y="23174325"/>
          <a:ext cx="0" cy="5810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533400</xdr:colOff>
      <xdr:row>107</xdr:row>
      <xdr:rowOff>190500</xdr:rowOff>
    </xdr:from>
    <xdr:to>
      <xdr:col>8</xdr:col>
      <xdr:colOff>47625</xdr:colOff>
      <xdr:row>109</xdr:row>
      <xdr:rowOff>25400</xdr:rowOff>
    </xdr:to>
    <xdr:sp macro="" textlink="">
      <xdr:nvSpPr>
        <xdr:cNvPr id="75" name="正方形/長方形 74">
          <a:extLst>
            <a:ext uri="{FF2B5EF4-FFF2-40B4-BE49-F238E27FC236}">
              <a16:creationId xmlns:a16="http://schemas.microsoft.com/office/drawing/2014/main" id="{00000000-0008-0000-0400-00004B000000}"/>
            </a:ext>
          </a:extLst>
        </xdr:cNvPr>
        <xdr:cNvSpPr/>
      </xdr:nvSpPr>
      <xdr:spPr>
        <a:xfrm>
          <a:off x="3781425" y="16611600"/>
          <a:ext cx="1362075" cy="292100"/>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539750</xdr:colOff>
      <xdr:row>91</xdr:row>
      <xdr:rowOff>177800</xdr:rowOff>
    </xdr:from>
    <xdr:to>
      <xdr:col>8</xdr:col>
      <xdr:colOff>533400</xdr:colOff>
      <xdr:row>93</xdr:row>
      <xdr:rowOff>15875</xdr:rowOff>
    </xdr:to>
    <xdr:sp macro="" textlink="">
      <xdr:nvSpPr>
        <xdr:cNvPr id="76" name="正方形/長方形 75">
          <a:extLst>
            <a:ext uri="{FF2B5EF4-FFF2-40B4-BE49-F238E27FC236}">
              <a16:creationId xmlns:a16="http://schemas.microsoft.com/office/drawing/2014/main" id="{00000000-0008-0000-0400-00004C000000}"/>
            </a:ext>
          </a:extLst>
        </xdr:cNvPr>
        <xdr:cNvSpPr/>
      </xdr:nvSpPr>
      <xdr:spPr>
        <a:xfrm>
          <a:off x="3787775" y="13855700"/>
          <a:ext cx="1841500" cy="295275"/>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81</xdr:row>
      <xdr:rowOff>209550</xdr:rowOff>
    </xdr:from>
    <xdr:to>
      <xdr:col>8</xdr:col>
      <xdr:colOff>104775</xdr:colOff>
      <xdr:row>83</xdr:row>
      <xdr:rowOff>44450</xdr:rowOff>
    </xdr:to>
    <xdr:sp macro="" textlink="">
      <xdr:nvSpPr>
        <xdr:cNvPr id="77" name="正方形/長方形 76">
          <a:extLst>
            <a:ext uri="{FF2B5EF4-FFF2-40B4-BE49-F238E27FC236}">
              <a16:creationId xmlns:a16="http://schemas.microsoft.com/office/drawing/2014/main" id="{00000000-0008-0000-0400-00004D000000}"/>
            </a:ext>
          </a:extLst>
        </xdr:cNvPr>
        <xdr:cNvSpPr/>
      </xdr:nvSpPr>
      <xdr:spPr>
        <a:xfrm>
          <a:off x="3838575" y="12058650"/>
          <a:ext cx="1362075" cy="292100"/>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581025</xdr:colOff>
      <xdr:row>74</xdr:row>
      <xdr:rowOff>200025</xdr:rowOff>
    </xdr:from>
    <xdr:to>
      <xdr:col>9</xdr:col>
      <xdr:colOff>28575</xdr:colOff>
      <xdr:row>76</xdr:row>
      <xdr:rowOff>0</xdr:rowOff>
    </xdr:to>
    <xdr:sp macro="" textlink="">
      <xdr:nvSpPr>
        <xdr:cNvPr id="78" name="正方形/長方形 77">
          <a:extLst>
            <a:ext uri="{FF2B5EF4-FFF2-40B4-BE49-F238E27FC236}">
              <a16:creationId xmlns:a16="http://schemas.microsoft.com/office/drawing/2014/main" id="{00000000-0008-0000-0400-00004E000000}"/>
            </a:ext>
          </a:extLst>
        </xdr:cNvPr>
        <xdr:cNvSpPr/>
      </xdr:nvSpPr>
      <xdr:spPr>
        <a:xfrm>
          <a:off x="3829050" y="11210925"/>
          <a:ext cx="1838325" cy="257175"/>
        </a:xfrm>
        <a:prstGeom prst="rect">
          <a:avLst/>
        </a:prstGeom>
        <a:noFill/>
        <a:ln w="1905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381000</xdr:colOff>
      <xdr:row>9</xdr:row>
      <xdr:rowOff>28575</xdr:rowOff>
    </xdr:from>
    <xdr:to>
      <xdr:col>34</xdr:col>
      <xdr:colOff>58205</xdr:colOff>
      <xdr:row>52</xdr:row>
      <xdr:rowOff>47272</xdr:rowOff>
    </xdr:to>
    <xdr:pic>
      <xdr:nvPicPr>
        <xdr:cNvPr id="51" name="図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6"/>
        <a:stretch>
          <a:fillRect/>
        </a:stretch>
      </xdr:blipFill>
      <xdr:spPr>
        <a:xfrm>
          <a:off x="7181850" y="1857375"/>
          <a:ext cx="7611530" cy="5571772"/>
        </a:xfrm>
        <a:prstGeom prst="rect">
          <a:avLst/>
        </a:prstGeom>
      </xdr:spPr>
    </xdr:pic>
    <xdr:clientData/>
  </xdr:twoCellAnchor>
  <xdr:twoCellAnchor editAs="oneCell">
    <xdr:from>
      <xdr:col>20</xdr:col>
      <xdr:colOff>73025</xdr:colOff>
      <xdr:row>63</xdr:row>
      <xdr:rowOff>38100</xdr:rowOff>
    </xdr:from>
    <xdr:to>
      <xdr:col>31</xdr:col>
      <xdr:colOff>258690</xdr:colOff>
      <xdr:row>74</xdr:row>
      <xdr:rowOff>153696</xdr:rowOff>
    </xdr:to>
    <xdr:pic>
      <xdr:nvPicPr>
        <xdr:cNvPr id="52" name="図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7"/>
        <a:stretch>
          <a:fillRect/>
        </a:stretch>
      </xdr:blipFill>
      <xdr:spPr>
        <a:xfrm>
          <a:off x="7264400" y="9410700"/>
          <a:ext cx="5843515" cy="1753896"/>
        </a:xfrm>
        <a:prstGeom prst="rect">
          <a:avLst/>
        </a:prstGeom>
      </xdr:spPr>
    </xdr:pic>
    <xdr:clientData/>
  </xdr:twoCellAnchor>
  <xdr:twoCellAnchor editAs="oneCell">
    <xdr:from>
      <xdr:col>20</xdr:col>
      <xdr:colOff>333375</xdr:colOff>
      <xdr:row>119</xdr:row>
      <xdr:rowOff>76200</xdr:rowOff>
    </xdr:from>
    <xdr:to>
      <xdr:col>31</xdr:col>
      <xdr:colOff>512690</xdr:colOff>
      <xdr:row>126</xdr:row>
      <xdr:rowOff>217196</xdr:rowOff>
    </xdr:to>
    <xdr:pic>
      <xdr:nvPicPr>
        <xdr:cNvPr id="82" name="図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7"/>
        <a:stretch>
          <a:fillRect/>
        </a:stretch>
      </xdr:blipFill>
      <xdr:spPr>
        <a:xfrm>
          <a:off x="7524750" y="18783300"/>
          <a:ext cx="5837165" cy="1760246"/>
        </a:xfrm>
        <a:prstGeom prst="rect">
          <a:avLst/>
        </a:prstGeom>
      </xdr:spPr>
    </xdr:pic>
    <xdr:clientData/>
  </xdr:twoCellAnchor>
  <xdr:twoCellAnchor editAs="oneCell">
    <xdr:from>
      <xdr:col>20</xdr:col>
      <xdr:colOff>269341</xdr:colOff>
      <xdr:row>86</xdr:row>
      <xdr:rowOff>161925</xdr:rowOff>
    </xdr:from>
    <xdr:to>
      <xdr:col>33</xdr:col>
      <xdr:colOff>152400</xdr:colOff>
      <xdr:row>93</xdr:row>
      <xdr:rowOff>104775</xdr:rowOff>
    </xdr:to>
    <xdr:pic>
      <xdr:nvPicPr>
        <xdr:cNvPr id="54" name="図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8"/>
        <a:stretch>
          <a:fillRect/>
        </a:stretch>
      </xdr:blipFill>
      <xdr:spPr>
        <a:xfrm>
          <a:off x="7460716" y="13154025"/>
          <a:ext cx="6798209" cy="1085850"/>
        </a:xfrm>
        <a:prstGeom prst="rect">
          <a:avLst/>
        </a:prstGeom>
      </xdr:spPr>
    </xdr:pic>
    <xdr:clientData/>
  </xdr:twoCellAnchor>
  <xdr:twoCellAnchor editAs="oneCell">
    <xdr:from>
      <xdr:col>20</xdr:col>
      <xdr:colOff>11842</xdr:colOff>
      <xdr:row>130</xdr:row>
      <xdr:rowOff>114301</xdr:rowOff>
    </xdr:from>
    <xdr:to>
      <xdr:col>33</xdr:col>
      <xdr:colOff>234950</xdr:colOff>
      <xdr:row>145</xdr:row>
      <xdr:rowOff>57151</xdr:rowOff>
    </xdr:to>
    <xdr:pic>
      <xdr:nvPicPr>
        <xdr:cNvPr id="73" name="図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9"/>
        <a:stretch>
          <a:fillRect/>
        </a:stretch>
      </xdr:blipFill>
      <xdr:spPr>
        <a:xfrm>
          <a:off x="7203217" y="21355051"/>
          <a:ext cx="7138258" cy="28384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214593</xdr:colOff>
      <xdr:row>0</xdr:row>
      <xdr:rowOff>14223</xdr:rowOff>
    </xdr:from>
    <xdr:to>
      <xdr:col>16</xdr:col>
      <xdr:colOff>628565</xdr:colOff>
      <xdr:row>1</xdr:row>
      <xdr:rowOff>324970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973917" y="14223"/>
          <a:ext cx="6162589" cy="344365"/>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本シートには直接記入はできません。データ記入は「厚さ対策計算シート」から行います。</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285750</xdr:colOff>
      <xdr:row>17</xdr:row>
      <xdr:rowOff>161925</xdr:rowOff>
    </xdr:from>
    <xdr:to>
      <xdr:col>5</xdr:col>
      <xdr:colOff>161508</xdr:colOff>
      <xdr:row>27</xdr:row>
      <xdr:rowOff>99584</xdr:rowOff>
    </xdr:to>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666750" y="5314950"/>
          <a:ext cx="3981033" cy="16521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577850</xdr:colOff>
      <xdr:row>11</xdr:row>
      <xdr:rowOff>25400</xdr:rowOff>
    </xdr:from>
    <xdr:to>
      <xdr:col>6</xdr:col>
      <xdr:colOff>381000</xdr:colOff>
      <xdr:row>11</xdr:row>
      <xdr:rowOff>139700</xdr:rowOff>
    </xdr:to>
    <xdr:sp macro="" textlink="">
      <xdr:nvSpPr>
        <xdr:cNvPr id="2" name="矢印: 右 1">
          <a:extLst>
            <a:ext uri="{FF2B5EF4-FFF2-40B4-BE49-F238E27FC236}">
              <a16:creationId xmlns:a16="http://schemas.microsoft.com/office/drawing/2014/main" id="{00000000-0008-0000-0700-000002000000}"/>
            </a:ext>
          </a:extLst>
        </xdr:cNvPr>
        <xdr:cNvSpPr/>
      </xdr:nvSpPr>
      <xdr:spPr>
        <a:xfrm>
          <a:off x="2711450" y="2051050"/>
          <a:ext cx="387350" cy="1143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533400</xdr:colOff>
      <xdr:row>45</xdr:row>
      <xdr:rowOff>38100</xdr:rowOff>
    </xdr:from>
    <xdr:to>
      <xdr:col>6</xdr:col>
      <xdr:colOff>336550</xdr:colOff>
      <xdr:row>45</xdr:row>
      <xdr:rowOff>152400</xdr:rowOff>
    </xdr:to>
    <xdr:sp macro="" textlink="">
      <xdr:nvSpPr>
        <xdr:cNvPr id="3" name="矢印: 右 2">
          <a:extLst>
            <a:ext uri="{FF2B5EF4-FFF2-40B4-BE49-F238E27FC236}">
              <a16:creationId xmlns:a16="http://schemas.microsoft.com/office/drawing/2014/main" id="{00000000-0008-0000-0700-000003000000}"/>
            </a:ext>
          </a:extLst>
        </xdr:cNvPr>
        <xdr:cNvSpPr/>
      </xdr:nvSpPr>
      <xdr:spPr>
        <a:xfrm>
          <a:off x="2667000" y="5302250"/>
          <a:ext cx="387350" cy="1143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165099</xdr:colOff>
      <xdr:row>18</xdr:row>
      <xdr:rowOff>152400</xdr:rowOff>
    </xdr:from>
    <xdr:to>
      <xdr:col>7</xdr:col>
      <xdr:colOff>67418</xdr:colOff>
      <xdr:row>21</xdr:row>
      <xdr:rowOff>139697</xdr:rowOff>
    </xdr:to>
    <xdr:grpSp>
      <xdr:nvGrpSpPr>
        <xdr:cNvPr id="4" name="グループ化 3">
          <a:extLst>
            <a:ext uri="{FF2B5EF4-FFF2-40B4-BE49-F238E27FC236}">
              <a16:creationId xmlns:a16="http://schemas.microsoft.com/office/drawing/2014/main" id="{00000000-0008-0000-0700-000004000000}"/>
            </a:ext>
          </a:extLst>
        </xdr:cNvPr>
        <xdr:cNvGrpSpPr/>
      </xdr:nvGrpSpPr>
      <xdr:grpSpPr>
        <a:xfrm>
          <a:off x="1162049" y="2882900"/>
          <a:ext cx="2067669" cy="558797"/>
          <a:chOff x="1039450" y="3209020"/>
          <a:chExt cx="1752362" cy="449991"/>
        </a:xfrm>
      </xdr:grpSpPr>
      <xdr:sp macro="" textlink="">
        <xdr:nvSpPr>
          <xdr:cNvPr id="5" name="正方形/長方形 4">
            <a:extLst>
              <a:ext uri="{FF2B5EF4-FFF2-40B4-BE49-F238E27FC236}">
                <a16:creationId xmlns:a16="http://schemas.microsoft.com/office/drawing/2014/main" id="{00000000-0008-0000-0700-000005000000}"/>
              </a:ext>
            </a:extLst>
          </xdr:cNvPr>
          <xdr:cNvSpPr/>
        </xdr:nvSpPr>
        <xdr:spPr>
          <a:xfrm rot="20700000">
            <a:off x="1102712" y="3417711"/>
            <a:ext cx="1689100" cy="2413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既存の屋根材</a:t>
            </a:r>
          </a:p>
        </xdr:txBody>
      </xdr:sp>
      <xdr:sp macro="" textlink="">
        <xdr:nvSpPr>
          <xdr:cNvPr id="6" name="正方形/長方形 5">
            <a:extLst>
              <a:ext uri="{FF2B5EF4-FFF2-40B4-BE49-F238E27FC236}">
                <a16:creationId xmlns:a16="http://schemas.microsoft.com/office/drawing/2014/main" id="{00000000-0008-0000-0700-000006000000}"/>
              </a:ext>
            </a:extLst>
          </xdr:cNvPr>
          <xdr:cNvSpPr/>
        </xdr:nvSpPr>
        <xdr:spPr>
          <a:xfrm rot="20700000">
            <a:off x="1039450" y="3209020"/>
            <a:ext cx="1689100" cy="215559"/>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断熱材（材質・厚さ）</a:t>
            </a:r>
          </a:p>
        </xdr:txBody>
      </xdr:sp>
    </xdr:grpSp>
    <xdr:clientData/>
  </xdr:twoCellAnchor>
  <xdr:twoCellAnchor>
    <xdr:from>
      <xdr:col>4</xdr:col>
      <xdr:colOff>228600</xdr:colOff>
      <xdr:row>31</xdr:row>
      <xdr:rowOff>57150</xdr:rowOff>
    </xdr:from>
    <xdr:to>
      <xdr:col>5</xdr:col>
      <xdr:colOff>495300</xdr:colOff>
      <xdr:row>39</xdr:row>
      <xdr:rowOff>177800</xdr:rowOff>
    </xdr:to>
    <xdr:grpSp>
      <xdr:nvGrpSpPr>
        <xdr:cNvPr id="7" name="グループ化 6">
          <a:extLst>
            <a:ext uri="{FF2B5EF4-FFF2-40B4-BE49-F238E27FC236}">
              <a16:creationId xmlns:a16="http://schemas.microsoft.com/office/drawing/2014/main" id="{00000000-0008-0000-0700-000007000000}"/>
            </a:ext>
          </a:extLst>
        </xdr:cNvPr>
        <xdr:cNvGrpSpPr/>
      </xdr:nvGrpSpPr>
      <xdr:grpSpPr>
        <a:xfrm>
          <a:off x="1790700" y="5264150"/>
          <a:ext cx="831850" cy="1644650"/>
          <a:chOff x="3651250" y="2851150"/>
          <a:chExt cx="831850" cy="1631950"/>
        </a:xfrm>
      </xdr:grpSpPr>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4013200" y="2851150"/>
            <a:ext cx="469900" cy="163195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既存の外壁</a:t>
            </a:r>
          </a:p>
        </xdr:txBody>
      </xdr:sp>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3651250" y="2851150"/>
            <a:ext cx="361950" cy="1631950"/>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断熱材 （材質・厚さ）</a:t>
            </a:r>
          </a:p>
        </xdr:txBody>
      </xdr:sp>
    </xdr:grpSp>
    <xdr:clientData/>
  </xdr:twoCellAnchor>
  <xdr:twoCellAnchor>
    <xdr:from>
      <xdr:col>4</xdr:col>
      <xdr:colOff>469900</xdr:colOff>
      <xdr:row>46</xdr:row>
      <xdr:rowOff>165100</xdr:rowOff>
    </xdr:from>
    <xdr:to>
      <xdr:col>5</xdr:col>
      <xdr:colOff>222250</xdr:colOff>
      <xdr:row>55</xdr:row>
      <xdr:rowOff>25400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2032000" y="7226300"/>
          <a:ext cx="317500" cy="15748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既存の屋根または外壁</a:t>
          </a:r>
        </a:p>
      </xdr:txBody>
    </xdr:sp>
    <xdr:clientData/>
  </xdr:twoCellAnchor>
  <xdr:twoCellAnchor>
    <xdr:from>
      <xdr:col>3</xdr:col>
      <xdr:colOff>323850</xdr:colOff>
      <xdr:row>48</xdr:row>
      <xdr:rowOff>44450</xdr:rowOff>
    </xdr:from>
    <xdr:to>
      <xdr:col>4</xdr:col>
      <xdr:colOff>331944</xdr:colOff>
      <xdr:row>54</xdr:row>
      <xdr:rowOff>24600</xdr:rowOff>
    </xdr:to>
    <xdr:grpSp>
      <xdr:nvGrpSpPr>
        <xdr:cNvPr id="11" name="グループ化 10">
          <a:extLst>
            <a:ext uri="{FF2B5EF4-FFF2-40B4-BE49-F238E27FC236}">
              <a16:creationId xmlns:a16="http://schemas.microsoft.com/office/drawing/2014/main" id="{00000000-0008-0000-0700-00000B000000}"/>
            </a:ext>
          </a:extLst>
        </xdr:cNvPr>
        <xdr:cNvGrpSpPr/>
      </xdr:nvGrpSpPr>
      <xdr:grpSpPr>
        <a:xfrm>
          <a:off x="1320800" y="8489950"/>
          <a:ext cx="573244" cy="1123150"/>
          <a:chOff x="1270000" y="5746750"/>
          <a:chExt cx="576000" cy="1123150"/>
        </a:xfrm>
      </xdr:grpSpPr>
      <xdr:cxnSp macro="">
        <xdr:nvCxnSpPr>
          <xdr:cNvPr id="12" name="直線矢印コネクタ 11">
            <a:extLst>
              <a:ext uri="{FF2B5EF4-FFF2-40B4-BE49-F238E27FC236}">
                <a16:creationId xmlns:a16="http://schemas.microsoft.com/office/drawing/2014/main" id="{00000000-0008-0000-0700-00000C000000}"/>
              </a:ext>
            </a:extLst>
          </xdr:cNvPr>
          <xdr:cNvCxnSpPr/>
        </xdr:nvCxnSpPr>
        <xdr:spPr>
          <a:xfrm>
            <a:off x="1270000" y="5746750"/>
            <a:ext cx="576000" cy="5400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直線矢印コネクタ 12">
            <a:extLst>
              <a:ext uri="{FF2B5EF4-FFF2-40B4-BE49-F238E27FC236}">
                <a16:creationId xmlns:a16="http://schemas.microsoft.com/office/drawing/2014/main" id="{00000000-0008-0000-0700-00000D000000}"/>
              </a:ext>
            </a:extLst>
          </xdr:cNvPr>
          <xdr:cNvCxnSpPr/>
        </xdr:nvCxnSpPr>
        <xdr:spPr>
          <a:xfrm rot="5400000">
            <a:off x="1282700" y="6311900"/>
            <a:ext cx="576000" cy="54000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577850</xdr:colOff>
      <xdr:row>28</xdr:row>
      <xdr:rowOff>25400</xdr:rowOff>
    </xdr:from>
    <xdr:to>
      <xdr:col>6</xdr:col>
      <xdr:colOff>381000</xdr:colOff>
      <xdr:row>28</xdr:row>
      <xdr:rowOff>139700</xdr:rowOff>
    </xdr:to>
    <xdr:sp macro="" textlink="">
      <xdr:nvSpPr>
        <xdr:cNvPr id="17" name="矢印: 右 16">
          <a:extLst>
            <a:ext uri="{FF2B5EF4-FFF2-40B4-BE49-F238E27FC236}">
              <a16:creationId xmlns:a16="http://schemas.microsoft.com/office/drawing/2014/main" id="{00000000-0008-0000-0700-000011000000}"/>
            </a:ext>
          </a:extLst>
        </xdr:cNvPr>
        <xdr:cNvSpPr/>
      </xdr:nvSpPr>
      <xdr:spPr>
        <a:xfrm>
          <a:off x="2711450" y="1943100"/>
          <a:ext cx="387350" cy="1143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895350</xdr:colOff>
      <xdr:row>38</xdr:row>
      <xdr:rowOff>95250</xdr:rowOff>
    </xdr:from>
    <xdr:to>
      <xdr:col>10</xdr:col>
      <xdr:colOff>180975</xdr:colOff>
      <xdr:row>40</xdr:row>
      <xdr:rowOff>0</xdr:rowOff>
    </xdr:to>
    <xdr:sp macro="" textlink="">
      <xdr:nvSpPr>
        <xdr:cNvPr id="18" name="四角形: 角を丸くする 17">
          <a:hlinkClick xmlns:r="http://schemas.openxmlformats.org/officeDocument/2006/relationships" r:id="rId1"/>
          <a:extLst>
            <a:ext uri="{FF2B5EF4-FFF2-40B4-BE49-F238E27FC236}">
              <a16:creationId xmlns:a16="http://schemas.microsoft.com/office/drawing/2014/main" id="{00000000-0008-0000-0700-000012000000}"/>
            </a:ext>
          </a:extLst>
        </xdr:cNvPr>
        <xdr:cNvSpPr/>
      </xdr:nvSpPr>
      <xdr:spPr>
        <a:xfrm>
          <a:off x="4048125" y="6638925"/>
          <a:ext cx="1285875" cy="285750"/>
        </a:xfrm>
        <a:prstGeom prst="roundRect">
          <a:avLst/>
        </a:prstGeom>
        <a:solidFill>
          <a:schemeClr val="accent1">
            <a:lumMod val="75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入力シートに戻 る</a:t>
          </a:r>
        </a:p>
      </xdr:txBody>
    </xdr:sp>
    <xdr:clientData/>
  </xdr:twoCellAnchor>
  <xdr:twoCellAnchor>
    <xdr:from>
      <xdr:col>7</xdr:col>
      <xdr:colOff>857250</xdr:colOff>
      <xdr:row>53</xdr:row>
      <xdr:rowOff>142875</xdr:rowOff>
    </xdr:from>
    <xdr:to>
      <xdr:col>10</xdr:col>
      <xdr:colOff>139700</xdr:colOff>
      <xdr:row>55</xdr:row>
      <xdr:rowOff>47625</xdr:rowOff>
    </xdr:to>
    <xdr:sp macro="" textlink="">
      <xdr:nvSpPr>
        <xdr:cNvPr id="19" name="四角形: 角を丸くする 18">
          <a:hlinkClick xmlns:r="http://schemas.openxmlformats.org/officeDocument/2006/relationships" r:id="rId1"/>
          <a:extLst>
            <a:ext uri="{FF2B5EF4-FFF2-40B4-BE49-F238E27FC236}">
              <a16:creationId xmlns:a16="http://schemas.microsoft.com/office/drawing/2014/main" id="{00000000-0008-0000-0700-000013000000}"/>
            </a:ext>
          </a:extLst>
        </xdr:cNvPr>
        <xdr:cNvSpPr/>
      </xdr:nvSpPr>
      <xdr:spPr>
        <a:xfrm>
          <a:off x="4010025" y="9544050"/>
          <a:ext cx="1282700" cy="285750"/>
        </a:xfrm>
        <a:prstGeom prst="roundRect">
          <a:avLst/>
        </a:prstGeom>
        <a:solidFill>
          <a:schemeClr val="accent1">
            <a:lumMod val="75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入力シートに戻 る</a:t>
          </a:r>
        </a:p>
      </xdr:txBody>
    </xdr:sp>
    <xdr:clientData/>
  </xdr:twoCellAnchor>
  <xdr:twoCellAnchor>
    <xdr:from>
      <xdr:col>4</xdr:col>
      <xdr:colOff>349250</xdr:colOff>
      <xdr:row>46</xdr:row>
      <xdr:rowOff>165100</xdr:rowOff>
    </xdr:from>
    <xdr:to>
      <xdr:col>4</xdr:col>
      <xdr:colOff>476250</xdr:colOff>
      <xdr:row>55</xdr:row>
      <xdr:rowOff>25400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911350" y="7226300"/>
          <a:ext cx="127000" cy="1574800"/>
        </a:xfrm>
        <a:prstGeom prst="rect">
          <a:avLst/>
        </a:prstGeom>
        <a:solidFill>
          <a:srgbClr val="FFFFCC"/>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900">
              <a:solidFill>
                <a:sysClr val="windowText" lastClr="000000"/>
              </a:solidFill>
              <a:latin typeface="ＭＳ Ｐゴシック" panose="020B0600070205080204" pitchFamily="50" charset="-128"/>
              <a:ea typeface="ＭＳ Ｐゴシック" panose="020B0600070205080204" pitchFamily="50" charset="-128"/>
            </a:rPr>
            <a:t>遮熱塗料の塗膜</a:t>
          </a:r>
        </a:p>
      </xdr:txBody>
    </xdr:sp>
    <xdr:clientData/>
  </xdr:twoCellAnchor>
  <xdr:oneCellAnchor>
    <xdr:from>
      <xdr:col>3</xdr:col>
      <xdr:colOff>31750</xdr:colOff>
      <xdr:row>49</xdr:row>
      <xdr:rowOff>133350</xdr:rowOff>
    </xdr:from>
    <xdr:ext cx="569387" cy="259045"/>
    <xdr:sp macro="" textlink="">
      <xdr:nvSpPr>
        <xdr:cNvPr id="21" name="テキスト ボックス 20">
          <a:extLst>
            <a:ext uri="{FF2B5EF4-FFF2-40B4-BE49-F238E27FC236}">
              <a16:creationId xmlns:a16="http://schemas.microsoft.com/office/drawing/2014/main" id="{00000000-0008-0000-0700-000015000000}"/>
            </a:ext>
          </a:extLst>
        </xdr:cNvPr>
        <xdr:cNvSpPr txBox="1"/>
      </xdr:nvSpPr>
      <xdr:spPr>
        <a:xfrm>
          <a:off x="1028700" y="7766050"/>
          <a:ext cx="569387" cy="259045"/>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日射熱</a:t>
          </a:r>
        </a:p>
      </xdr:txBody>
    </xdr:sp>
    <xdr:clientData/>
  </xdr:oneCellAnchor>
  <xdr:oneCellAnchor>
    <xdr:from>
      <xdr:col>1</xdr:col>
      <xdr:colOff>209550</xdr:colOff>
      <xdr:row>53</xdr:row>
      <xdr:rowOff>88900</xdr:rowOff>
    </xdr:from>
    <xdr:ext cx="1031051" cy="275717"/>
    <xdr:sp macro="" textlink="">
      <xdr:nvSpPr>
        <xdr:cNvPr id="22" name="テキスト ボックス 21">
          <a:extLst>
            <a:ext uri="{FF2B5EF4-FFF2-40B4-BE49-F238E27FC236}">
              <a16:creationId xmlns:a16="http://schemas.microsoft.com/office/drawing/2014/main" id="{00000000-0008-0000-0700-000016000000}"/>
            </a:ext>
          </a:extLst>
        </xdr:cNvPr>
        <xdr:cNvSpPr txBox="1"/>
      </xdr:nvSpPr>
      <xdr:spPr>
        <a:xfrm>
          <a:off x="273050" y="8483600"/>
          <a:ext cx="1031051" cy="275717"/>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日射熱反射率</a:t>
          </a:r>
        </a:p>
      </xdr:txBody>
    </xdr:sp>
    <xdr:clientData/>
  </xdr:oneCellAnchor>
  <xdr:twoCellAnchor editAs="oneCell">
    <xdr:from>
      <xdr:col>2</xdr:col>
      <xdr:colOff>539750</xdr:colOff>
      <xdr:row>32</xdr:row>
      <xdr:rowOff>31750</xdr:rowOff>
    </xdr:from>
    <xdr:to>
      <xdr:col>3</xdr:col>
      <xdr:colOff>190500</xdr:colOff>
      <xdr:row>34</xdr:row>
      <xdr:rowOff>12700</xdr:rowOff>
    </xdr:to>
    <xdr:pic>
      <xdr:nvPicPr>
        <xdr:cNvPr id="23" name="図 22">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4550" y="4425950"/>
          <a:ext cx="34290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450850</xdr:colOff>
      <xdr:row>47</xdr:row>
      <xdr:rowOff>38100</xdr:rowOff>
    </xdr:from>
    <xdr:to>
      <xdr:col>3</xdr:col>
      <xdr:colOff>184150</xdr:colOff>
      <xdr:row>49</xdr:row>
      <xdr:rowOff>106186</xdr:rowOff>
    </xdr:to>
    <xdr:pic>
      <xdr:nvPicPr>
        <xdr:cNvPr id="24" name="図 23">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650" y="7289800"/>
          <a:ext cx="425450" cy="449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247650</xdr:colOff>
      <xdr:row>33</xdr:row>
      <xdr:rowOff>50800</xdr:rowOff>
    </xdr:from>
    <xdr:to>
      <xdr:col>6</xdr:col>
      <xdr:colOff>386495</xdr:colOff>
      <xdr:row>39</xdr:row>
      <xdr:rowOff>181974</xdr:rowOff>
    </xdr:to>
    <xdr:pic>
      <xdr:nvPicPr>
        <xdr:cNvPr id="38" name="図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3"/>
        <a:stretch>
          <a:fillRect/>
        </a:stretch>
      </xdr:blipFill>
      <xdr:spPr>
        <a:xfrm>
          <a:off x="1244600" y="4635500"/>
          <a:ext cx="1853345" cy="1274174"/>
        </a:xfrm>
        <a:prstGeom prst="rect">
          <a:avLst/>
        </a:prstGeom>
      </xdr:spPr>
    </xdr:pic>
    <xdr:clientData/>
  </xdr:twoCellAnchor>
  <xdr:oneCellAnchor>
    <xdr:from>
      <xdr:col>2</xdr:col>
      <xdr:colOff>609600</xdr:colOff>
      <xdr:row>34</xdr:row>
      <xdr:rowOff>107950</xdr:rowOff>
    </xdr:from>
    <xdr:ext cx="569387" cy="259045"/>
    <xdr:sp macro="" textlink="">
      <xdr:nvSpPr>
        <xdr:cNvPr id="39" name="テキスト ボックス 38">
          <a:extLst>
            <a:ext uri="{FF2B5EF4-FFF2-40B4-BE49-F238E27FC236}">
              <a16:creationId xmlns:a16="http://schemas.microsoft.com/office/drawing/2014/main" id="{00000000-0008-0000-0700-000027000000}"/>
            </a:ext>
          </a:extLst>
        </xdr:cNvPr>
        <xdr:cNvSpPr txBox="1"/>
      </xdr:nvSpPr>
      <xdr:spPr>
        <a:xfrm>
          <a:off x="914400" y="4883150"/>
          <a:ext cx="569387" cy="259045"/>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日射熱</a:t>
          </a:r>
        </a:p>
      </xdr:txBody>
    </xdr:sp>
    <xdr:clientData/>
  </xdr:oneCellAnchor>
  <xdr:twoCellAnchor>
    <xdr:from>
      <xdr:col>8</xdr:col>
      <xdr:colOff>0</xdr:colOff>
      <xdr:row>19</xdr:row>
      <xdr:rowOff>171450</xdr:rowOff>
    </xdr:from>
    <xdr:to>
      <xdr:col>10</xdr:col>
      <xdr:colOff>200025</xdr:colOff>
      <xdr:row>21</xdr:row>
      <xdr:rowOff>63500</xdr:rowOff>
    </xdr:to>
    <xdr:sp macro="" textlink="">
      <xdr:nvSpPr>
        <xdr:cNvPr id="40" name="四角形: 角を丸くする 39">
          <a:hlinkClick xmlns:r="http://schemas.openxmlformats.org/officeDocument/2006/relationships" r:id="rId1"/>
          <a:extLst>
            <a:ext uri="{FF2B5EF4-FFF2-40B4-BE49-F238E27FC236}">
              <a16:creationId xmlns:a16="http://schemas.microsoft.com/office/drawing/2014/main" id="{00000000-0008-0000-0700-000028000000}"/>
            </a:ext>
          </a:extLst>
        </xdr:cNvPr>
        <xdr:cNvSpPr/>
      </xdr:nvSpPr>
      <xdr:spPr>
        <a:xfrm>
          <a:off x="4076700" y="3041650"/>
          <a:ext cx="1285875" cy="273050"/>
        </a:xfrm>
        <a:prstGeom prst="roundRect">
          <a:avLst/>
        </a:prstGeom>
        <a:solidFill>
          <a:schemeClr val="accent1">
            <a:lumMod val="75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入力シートに戻 る</a:t>
          </a:r>
        </a:p>
      </xdr:txBody>
    </xdr:sp>
    <xdr:clientData/>
  </xdr:twoCellAnchor>
  <xdr:twoCellAnchor editAs="oneCell">
    <xdr:from>
      <xdr:col>2</xdr:col>
      <xdr:colOff>292100</xdr:colOff>
      <xdr:row>15</xdr:row>
      <xdr:rowOff>184150</xdr:rowOff>
    </xdr:from>
    <xdr:to>
      <xdr:col>2</xdr:col>
      <xdr:colOff>635000</xdr:colOff>
      <xdr:row>18</xdr:row>
      <xdr:rowOff>165100</xdr:rowOff>
    </xdr:to>
    <xdr:pic>
      <xdr:nvPicPr>
        <xdr:cNvPr id="41" name="図 40">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6900" y="2533650"/>
          <a:ext cx="34290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63500</xdr:colOff>
      <xdr:row>18</xdr:row>
      <xdr:rowOff>19050</xdr:rowOff>
    </xdr:from>
    <xdr:to>
      <xdr:col>6</xdr:col>
      <xdr:colOff>238924</xdr:colOff>
      <xdr:row>22</xdr:row>
      <xdr:rowOff>147143</xdr:rowOff>
    </xdr:to>
    <xdr:pic>
      <xdr:nvPicPr>
        <xdr:cNvPr id="43" name="図 42">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4"/>
        <a:stretch>
          <a:fillRect/>
        </a:stretch>
      </xdr:blipFill>
      <xdr:spPr>
        <a:xfrm>
          <a:off x="1060450" y="2749550"/>
          <a:ext cx="1889924" cy="890093"/>
        </a:xfrm>
        <a:prstGeom prst="rect">
          <a:avLst/>
        </a:prstGeom>
      </xdr:spPr>
    </xdr:pic>
    <xdr:clientData/>
  </xdr:twoCellAnchor>
  <xdr:oneCellAnchor>
    <xdr:from>
      <xdr:col>3</xdr:col>
      <xdr:colOff>304800</xdr:colOff>
      <xdr:row>17</xdr:row>
      <xdr:rowOff>44450</xdr:rowOff>
    </xdr:from>
    <xdr:ext cx="569387"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1301750" y="2584450"/>
          <a:ext cx="569387" cy="259045"/>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日射熱</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268941</xdr:colOff>
      <xdr:row>10</xdr:row>
      <xdr:rowOff>33432</xdr:rowOff>
    </xdr:from>
    <xdr:to>
      <xdr:col>4</xdr:col>
      <xdr:colOff>410882</xdr:colOff>
      <xdr:row>12</xdr:row>
      <xdr:rowOff>33432</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268941" y="1856256"/>
          <a:ext cx="2263588" cy="328705"/>
        </a:xfrm>
        <a:prstGeom prst="roundRect">
          <a:avLst/>
        </a:prstGeom>
        <a:solidFill>
          <a:schemeClr val="accent6">
            <a:lumMod val="60000"/>
            <a:lumOff val="40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対策部位の入力に戻 る</a:t>
          </a:r>
        </a:p>
      </xdr:txBody>
    </xdr:sp>
    <xdr:clientData/>
  </xdr:twoCellAnchor>
  <xdr:twoCellAnchor>
    <xdr:from>
      <xdr:col>0</xdr:col>
      <xdr:colOff>276412</xdr:colOff>
      <xdr:row>21</xdr:row>
      <xdr:rowOff>80869</xdr:rowOff>
    </xdr:from>
    <xdr:to>
      <xdr:col>4</xdr:col>
      <xdr:colOff>433295</xdr:colOff>
      <xdr:row>23</xdr:row>
      <xdr:rowOff>80869</xdr:rowOff>
    </xdr:to>
    <xdr:sp macro="" textlink="">
      <xdr:nvSpPr>
        <xdr:cNvPr id="5" name="四角形: 角を丸くする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276412" y="4107516"/>
          <a:ext cx="2278530" cy="328706"/>
        </a:xfrm>
        <a:prstGeom prst="roundRect">
          <a:avLst/>
        </a:prstGeom>
        <a:solidFill>
          <a:schemeClr val="accent3">
            <a:lumMod val="60000"/>
            <a:lumOff val="40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屋根対策の入力に戻 る</a:t>
          </a:r>
        </a:p>
      </xdr:txBody>
    </xdr:sp>
    <xdr:clientData/>
  </xdr:twoCellAnchor>
  <xdr:twoCellAnchor>
    <xdr:from>
      <xdr:col>0</xdr:col>
      <xdr:colOff>268940</xdr:colOff>
      <xdr:row>35</xdr:row>
      <xdr:rowOff>76947</xdr:rowOff>
    </xdr:from>
    <xdr:to>
      <xdr:col>4</xdr:col>
      <xdr:colOff>448234</xdr:colOff>
      <xdr:row>37</xdr:row>
      <xdr:rowOff>76947</xdr:rowOff>
    </xdr:to>
    <xdr:sp macro="" textlink="">
      <xdr:nvSpPr>
        <xdr:cNvPr id="6" name="四角形: 角を丸くする 5">
          <a:hlinkClick xmlns:r="http://schemas.openxmlformats.org/officeDocument/2006/relationships" r:id="rId3"/>
          <a:extLst>
            <a:ext uri="{FF2B5EF4-FFF2-40B4-BE49-F238E27FC236}">
              <a16:creationId xmlns:a16="http://schemas.microsoft.com/office/drawing/2014/main" id="{00000000-0008-0000-0800-000006000000}"/>
            </a:ext>
          </a:extLst>
        </xdr:cNvPr>
        <xdr:cNvSpPr/>
      </xdr:nvSpPr>
      <xdr:spPr>
        <a:xfrm>
          <a:off x="268940" y="6441888"/>
          <a:ext cx="2300941" cy="328706"/>
        </a:xfrm>
        <a:prstGeom prst="roundRect">
          <a:avLst/>
        </a:prstGeom>
        <a:solidFill>
          <a:schemeClr val="accent5">
            <a:lumMod val="40000"/>
            <a:lumOff val="60000"/>
          </a:schemeClr>
        </a:solidFill>
        <a:ln w="952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外壁対策の入力に戻 る</a:t>
          </a:r>
        </a:p>
      </xdr:txBody>
    </xdr:sp>
    <xdr:clientData/>
  </xdr:twoCellAnchor>
  <xdr:oneCellAnchor>
    <xdr:from>
      <xdr:col>10</xdr:col>
      <xdr:colOff>246529</xdr:colOff>
      <xdr:row>0</xdr:row>
      <xdr:rowOff>37353</xdr:rowOff>
    </xdr:from>
    <xdr:ext cx="2154757" cy="359073"/>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6043705" y="37353"/>
          <a:ext cx="2154757" cy="359073"/>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none" rtlCol="0" anchor="t">
          <a:spAutoFit/>
        </a:bodyPr>
        <a:lstStyle/>
        <a:p>
          <a:r>
            <a:rPr kumimoji="1" lang="ja-JP" altLang="en-US" sz="1600"/>
            <a:t>このページは印刷不要</a:t>
          </a:r>
        </a:p>
      </xdr:txBody>
    </xdr:sp>
    <xdr:clientData/>
  </xdr:oneCellAnchor>
  <xdr:twoCellAnchor>
    <xdr:from>
      <xdr:col>0</xdr:col>
      <xdr:colOff>268941</xdr:colOff>
      <xdr:row>3</xdr:row>
      <xdr:rowOff>285749</xdr:rowOff>
    </xdr:from>
    <xdr:to>
      <xdr:col>13</xdr:col>
      <xdr:colOff>331881</xdr:colOff>
      <xdr:row>8</xdr:row>
      <xdr:rowOff>37352</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268941" y="819149"/>
          <a:ext cx="7663890" cy="108510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7471</xdr:colOff>
      <xdr:row>15</xdr:row>
      <xdr:rowOff>1</xdr:rowOff>
    </xdr:from>
    <xdr:to>
      <xdr:col>13</xdr:col>
      <xdr:colOff>381000</xdr:colOff>
      <xdr:row>20</xdr:row>
      <xdr:rowOff>224118</xdr:rowOff>
    </xdr:to>
    <xdr:sp macro="" textlink="">
      <xdr:nvSpPr>
        <xdr:cNvPr id="7" name="正方形/長方形 6">
          <a:extLst>
            <a:ext uri="{FF2B5EF4-FFF2-40B4-BE49-F238E27FC236}">
              <a16:creationId xmlns:a16="http://schemas.microsoft.com/office/drawing/2014/main" id="{00000000-0008-0000-0800-000007000000}"/>
            </a:ext>
          </a:extLst>
        </xdr:cNvPr>
        <xdr:cNvSpPr/>
      </xdr:nvSpPr>
      <xdr:spPr>
        <a:xfrm>
          <a:off x="291353" y="2794001"/>
          <a:ext cx="7724588" cy="115047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285749</xdr:colOff>
      <xdr:row>28</xdr:row>
      <xdr:rowOff>11767</xdr:rowOff>
    </xdr:from>
    <xdr:to>
      <xdr:col>13</xdr:col>
      <xdr:colOff>485774</xdr:colOff>
      <xdr:row>35</xdr:row>
      <xdr:rowOff>0</xdr:rowOff>
    </xdr:to>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285749" y="5345767"/>
          <a:ext cx="7800975" cy="158843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ref.saitama.lg.jp/documents/150069/R2.4.2&#27096;&#24335;&#31532;2-1&#21495;&#65288;&#20107;&#26989;&#35336;&#30011;&#26360;_&#35373;&#20633;&#23566;&#20837;&#65289;&#20196;&#21644;2&#24180;&#27096;&#24335;%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業実施者・事業内容"/>
      <sheetName val="資金計画"/>
      <sheetName val="排出量算定（照明）標準時間ver"/>
      <sheetName val="照明算定(総括表）"/>
      <sheetName val="照明算定(導入前1)"/>
      <sheetName val="照明算定(導入前2)"/>
      <sheetName val="照明挿入前(追加）"/>
      <sheetName val="照明算定(導入後1)"/>
      <sheetName val="照明算定(導入後2)"/>
      <sheetName val="照明導入後(追加）"/>
      <sheetName val="ボイラ排出量算定"/>
      <sheetName val="ボイラ排出量算定（追加)"/>
      <sheetName val="空調導入前算定"/>
      <sheetName val="空調導入後算定"/>
      <sheetName val="Sheet1"/>
      <sheetName val="排出量算定（太陽光）"/>
      <sheetName val="排出量算定(コンプレッサー）"/>
      <sheetName val="排出量算定(任意)"/>
      <sheetName val="比較図"/>
      <sheetName val="省エネ診断"/>
      <sheetName val="資産登録"/>
      <sheetName val="換算シート"/>
    </sheetNames>
    <sheetDataSet>
      <sheetData sheetId="0">
        <row r="97">
          <cell r="A97" t="str">
            <v>農業・林業</v>
          </cell>
          <cell r="B97" t="str">
            <v>漁業</v>
          </cell>
          <cell r="C97" t="str">
            <v>鉱業・採石業・砂利採取業</v>
          </cell>
          <cell r="D97" t="str">
            <v>建設業</v>
          </cell>
          <cell r="E97" t="str">
            <v>製造業</v>
          </cell>
          <cell r="F97" t="str">
            <v>電気・ガス・熱供給・水道業</v>
          </cell>
          <cell r="G97" t="str">
            <v>情報通信業</v>
          </cell>
          <cell r="H97" t="str">
            <v>運輸業・郵便業</v>
          </cell>
          <cell r="I97" t="str">
            <v>卸売業・小売業</v>
          </cell>
          <cell r="J97" t="str">
            <v>金融業・保険業</v>
          </cell>
          <cell r="K97" t="str">
            <v>不動産業・物品賃貸業</v>
          </cell>
          <cell r="L97" t="str">
            <v>学術研究・専門・技術サービス業</v>
          </cell>
          <cell r="M97" t="str">
            <v>宿泊業・飲食サービス業</v>
          </cell>
          <cell r="N97" t="str">
            <v>生活関連サービス業・娯楽業</v>
          </cell>
          <cell r="O97" t="str">
            <v>教育・学習支援業</v>
          </cell>
          <cell r="P97" t="str">
            <v>医療・福祉</v>
          </cell>
          <cell r="Q97" t="str">
            <v>複合サービス事業</v>
          </cell>
          <cell r="R97" t="str">
            <v>サービス業</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9">
          <cell r="BB29" t="str">
            <v>1995年以前</v>
          </cell>
          <cell r="BC29">
            <v>1995</v>
          </cell>
          <cell r="BD29">
            <v>1.05</v>
          </cell>
          <cell r="BE29">
            <v>1.0416666666666667</v>
          </cell>
          <cell r="BF29">
            <v>0.03</v>
          </cell>
          <cell r="BG29">
            <v>0.15</v>
          </cell>
          <cell r="BH29">
            <v>0.09</v>
          </cell>
          <cell r="BI29">
            <v>0.7</v>
          </cell>
          <cell r="BJ29">
            <v>0.64</v>
          </cell>
          <cell r="BK29">
            <v>0.95499999999999996</v>
          </cell>
          <cell r="BL29">
            <v>0.86</v>
          </cell>
          <cell r="BM29">
            <v>0.90749999999999997</v>
          </cell>
        </row>
        <row r="30">
          <cell r="BB30" t="str">
            <v>1996年</v>
          </cell>
          <cell r="BC30">
            <v>1996</v>
          </cell>
          <cell r="BD30">
            <v>1.05</v>
          </cell>
          <cell r="BE30">
            <v>1.0416666666666667</v>
          </cell>
          <cell r="BF30">
            <v>-4.9875000000000003E-2</v>
          </cell>
          <cell r="BG30">
            <v>7.4999999999999997E-2</v>
          </cell>
          <cell r="BH30">
            <v>1.2562499999999997E-2</v>
          </cell>
          <cell r="BI30">
            <v>0.76100000000000001</v>
          </cell>
          <cell r="BJ30">
            <v>0.69550000000000001</v>
          </cell>
          <cell r="BK30">
            <v>1.0365</v>
          </cell>
          <cell r="BL30">
            <v>0.9345</v>
          </cell>
          <cell r="BM30">
            <v>0.98550000000000004</v>
          </cell>
        </row>
        <row r="31">
          <cell r="BB31" t="str">
            <v>1997年</v>
          </cell>
          <cell r="BC31">
            <v>1997</v>
          </cell>
          <cell r="BD31">
            <v>1.05</v>
          </cell>
          <cell r="BE31">
            <v>1.0416666666666667</v>
          </cell>
          <cell r="BF31">
            <v>-0.12975</v>
          </cell>
          <cell r="BG31">
            <v>0</v>
          </cell>
          <cell r="BH31">
            <v>-6.4875000000000002E-2</v>
          </cell>
          <cell r="BI31">
            <v>0.82199999999999995</v>
          </cell>
          <cell r="BJ31">
            <v>0.751</v>
          </cell>
          <cell r="BK31">
            <v>1.1179999999999999</v>
          </cell>
          <cell r="BL31">
            <v>1.0089999999999999</v>
          </cell>
          <cell r="BM31">
            <v>1.0634999999999999</v>
          </cell>
        </row>
        <row r="32">
          <cell r="BB32" t="str">
            <v>1998年</v>
          </cell>
          <cell r="BC32">
            <v>1998</v>
          </cell>
          <cell r="BD32">
            <v>1.05</v>
          </cell>
          <cell r="BE32">
            <v>1.0416666666666667</v>
          </cell>
          <cell r="BF32">
            <v>-0.20962500000000001</v>
          </cell>
          <cell r="BG32">
            <v>-7.4999999999999983E-2</v>
          </cell>
          <cell r="BH32">
            <v>-0.14231250000000001</v>
          </cell>
          <cell r="BI32">
            <v>0.88300000000000001</v>
          </cell>
          <cell r="BJ32">
            <v>0.80649999999999999</v>
          </cell>
          <cell r="BK32">
            <v>1.1995</v>
          </cell>
          <cell r="BL32">
            <v>1.0834999999999999</v>
          </cell>
          <cell r="BM32">
            <v>1.1415</v>
          </cell>
        </row>
        <row r="33">
          <cell r="BB33" t="str">
            <v>1999年</v>
          </cell>
          <cell r="BC33">
            <v>1999</v>
          </cell>
          <cell r="BD33">
            <v>1.05</v>
          </cell>
          <cell r="BE33">
            <v>1.0416666666666667</v>
          </cell>
          <cell r="BF33">
            <v>-0.28949999999999998</v>
          </cell>
          <cell r="BG33">
            <v>-0.15</v>
          </cell>
          <cell r="BH33">
            <v>-0.21975</v>
          </cell>
          <cell r="BI33">
            <v>0.94399999999999995</v>
          </cell>
          <cell r="BJ33">
            <v>0.86199999999999988</v>
          </cell>
          <cell r="BK33">
            <v>1.2809999999999999</v>
          </cell>
          <cell r="BL33">
            <v>1.1579999999999999</v>
          </cell>
          <cell r="BM33">
            <v>1.2195</v>
          </cell>
        </row>
        <row r="34">
          <cell r="BB34" t="str">
            <v>2000年</v>
          </cell>
          <cell r="BC34">
            <v>2000</v>
          </cell>
          <cell r="BD34">
            <v>1.05</v>
          </cell>
          <cell r="BE34">
            <v>1.0416666666666667</v>
          </cell>
          <cell r="BF34">
            <v>-0.36937500000000001</v>
          </cell>
          <cell r="BG34">
            <v>-0.22500000000000001</v>
          </cell>
          <cell r="BH34">
            <v>-0.29718749999999999</v>
          </cell>
          <cell r="BI34">
            <v>1.0049999999999999</v>
          </cell>
          <cell r="BJ34">
            <v>0.91749999999999998</v>
          </cell>
          <cell r="BK34">
            <v>1.3625</v>
          </cell>
          <cell r="BL34">
            <v>1.2324999999999999</v>
          </cell>
          <cell r="BM34">
            <v>1.2974999999999999</v>
          </cell>
        </row>
        <row r="35">
          <cell r="BB35" t="str">
            <v>2001年</v>
          </cell>
          <cell r="BC35">
            <v>2001</v>
          </cell>
          <cell r="BD35">
            <v>1.05</v>
          </cell>
          <cell r="BE35">
            <v>1.0416666666666667</v>
          </cell>
          <cell r="BF35">
            <v>-0.44925000000000004</v>
          </cell>
          <cell r="BG35">
            <v>-0.29999999999999993</v>
          </cell>
          <cell r="BH35">
            <v>-0.37462499999999999</v>
          </cell>
          <cell r="BI35">
            <v>1.0660000000000001</v>
          </cell>
          <cell r="BJ35">
            <v>0.97299999999999986</v>
          </cell>
          <cell r="BK35">
            <v>1.444</v>
          </cell>
          <cell r="BL35">
            <v>1.3069999999999999</v>
          </cell>
          <cell r="BM35">
            <v>1.3754999999999999</v>
          </cell>
        </row>
        <row r="36">
          <cell r="BB36" t="str">
            <v>2002年</v>
          </cell>
          <cell r="BC36">
            <v>2002</v>
          </cell>
          <cell r="BD36">
            <v>1.05</v>
          </cell>
          <cell r="BE36">
            <v>1.0416666666666667</v>
          </cell>
          <cell r="BF36">
            <v>-0.52912499999999996</v>
          </cell>
          <cell r="BG36">
            <v>-0.375</v>
          </cell>
          <cell r="BH36">
            <v>-0.45206249999999998</v>
          </cell>
          <cell r="BI36">
            <v>1.127</v>
          </cell>
          <cell r="BJ36">
            <v>1.0284999999999997</v>
          </cell>
          <cell r="BK36">
            <v>1.5255000000000001</v>
          </cell>
          <cell r="BL36">
            <v>1.3815</v>
          </cell>
          <cell r="BM36">
            <v>1.4535</v>
          </cell>
        </row>
        <row r="37">
          <cell r="BB37" t="str">
            <v>2003年</v>
          </cell>
          <cell r="BC37">
            <v>2003</v>
          </cell>
          <cell r="BD37">
            <v>1.05</v>
          </cell>
          <cell r="BE37">
            <v>1.0416666666666667</v>
          </cell>
          <cell r="BF37">
            <v>-0.60899999999999999</v>
          </cell>
          <cell r="BG37">
            <v>-0.44999999999999996</v>
          </cell>
          <cell r="BH37">
            <v>-0.52949999999999997</v>
          </cell>
          <cell r="BI37">
            <v>1.1880000000000002</v>
          </cell>
          <cell r="BJ37">
            <v>1.0839999999999999</v>
          </cell>
          <cell r="BK37">
            <v>1.607</v>
          </cell>
          <cell r="BL37">
            <v>1.456</v>
          </cell>
          <cell r="BM37">
            <v>1.5314999999999999</v>
          </cell>
        </row>
        <row r="38">
          <cell r="BB38" t="str">
            <v>2004年</v>
          </cell>
          <cell r="BC38">
            <v>2004</v>
          </cell>
          <cell r="BD38">
            <v>1.05</v>
          </cell>
          <cell r="BE38">
            <v>1.0416666666666667</v>
          </cell>
          <cell r="BF38">
            <v>-0.68887500000000002</v>
          </cell>
          <cell r="BG38">
            <v>-0.52499999999999991</v>
          </cell>
          <cell r="BH38">
            <v>-0.60693749999999991</v>
          </cell>
          <cell r="BI38">
            <v>1.2490000000000001</v>
          </cell>
          <cell r="BJ38">
            <v>1.1395</v>
          </cell>
          <cell r="BK38">
            <v>1.6884999999999999</v>
          </cell>
          <cell r="BL38">
            <v>1.5305</v>
          </cell>
          <cell r="BM38">
            <v>1.6094999999999999</v>
          </cell>
        </row>
        <row r="39">
          <cell r="BB39" t="str">
            <v>2005年</v>
          </cell>
          <cell r="BC39">
            <v>2005</v>
          </cell>
          <cell r="BD39">
            <v>1.05</v>
          </cell>
          <cell r="BE39">
            <v>1.0416666666666667</v>
          </cell>
          <cell r="BF39">
            <v>-0.77</v>
          </cell>
          <cell r="BG39">
            <v>-0.60499999999999998</v>
          </cell>
          <cell r="BH39">
            <v>-0.6875</v>
          </cell>
          <cell r="BI39">
            <v>1.31</v>
          </cell>
          <cell r="BJ39">
            <v>1.1950000000000001</v>
          </cell>
          <cell r="BK39">
            <v>1.77</v>
          </cell>
          <cell r="BL39">
            <v>1.605</v>
          </cell>
          <cell r="BM39">
            <v>1.6875</v>
          </cell>
        </row>
        <row r="40">
          <cell r="BB40" t="str">
            <v>2006年</v>
          </cell>
          <cell r="BC40">
            <v>2006</v>
          </cell>
          <cell r="BD40">
            <v>1.05</v>
          </cell>
          <cell r="BE40">
            <v>1.0416666666666667</v>
          </cell>
          <cell r="BF40">
            <v>-0.84087500000000004</v>
          </cell>
          <cell r="BG40">
            <v>-0.63575000000000004</v>
          </cell>
          <cell r="BH40">
            <v>-0.73831250000000004</v>
          </cell>
          <cell r="BI40">
            <v>1.363</v>
          </cell>
          <cell r="BJ40">
            <v>1.218</v>
          </cell>
          <cell r="BK40">
            <v>1.841</v>
          </cell>
          <cell r="BL40">
            <v>1.6359999999999999</v>
          </cell>
          <cell r="BM40">
            <v>1.7384999999999999</v>
          </cell>
        </row>
        <row r="41">
          <cell r="BB41" t="str">
            <v>2007年</v>
          </cell>
          <cell r="BC41">
            <v>2007</v>
          </cell>
          <cell r="BD41">
            <v>1.05</v>
          </cell>
          <cell r="BE41">
            <v>1.0416666666666667</v>
          </cell>
          <cell r="BF41">
            <v>-0.91175000000000006</v>
          </cell>
          <cell r="BG41">
            <v>-0.66649999999999998</v>
          </cell>
          <cell r="BH41">
            <v>-0.78912500000000008</v>
          </cell>
          <cell r="BI41">
            <v>1.4159999999999999</v>
          </cell>
          <cell r="BJ41">
            <v>1.2410000000000001</v>
          </cell>
          <cell r="BK41">
            <v>1.9119999999999999</v>
          </cell>
          <cell r="BL41">
            <v>1.667</v>
          </cell>
          <cell r="BM41">
            <v>1.7894999999999999</v>
          </cell>
        </row>
        <row r="42">
          <cell r="BB42" t="str">
            <v>2008年</v>
          </cell>
          <cell r="BC42">
            <v>2008</v>
          </cell>
          <cell r="BD42">
            <v>1.05</v>
          </cell>
          <cell r="BE42">
            <v>1.0416666666666667</v>
          </cell>
          <cell r="BF42">
            <v>-0.98262499999999997</v>
          </cell>
          <cell r="BG42">
            <v>-0.69724999999999993</v>
          </cell>
          <cell r="BH42">
            <v>-0.8399375</v>
          </cell>
          <cell r="BI42">
            <v>1.4689999999999999</v>
          </cell>
          <cell r="BJ42">
            <v>1.264</v>
          </cell>
          <cell r="BK42">
            <v>1.9830000000000001</v>
          </cell>
          <cell r="BL42">
            <v>1.698</v>
          </cell>
          <cell r="BM42">
            <v>1.8405</v>
          </cell>
        </row>
        <row r="43">
          <cell r="BB43" t="str">
            <v>2009年</v>
          </cell>
          <cell r="BC43">
            <v>2009</v>
          </cell>
          <cell r="BD43">
            <v>1.05</v>
          </cell>
          <cell r="BE43">
            <v>1.0416666666666667</v>
          </cell>
          <cell r="BF43">
            <v>-1.0535000000000001</v>
          </cell>
          <cell r="BG43">
            <v>-0.72799999999999998</v>
          </cell>
          <cell r="BH43">
            <v>-0.89075000000000004</v>
          </cell>
          <cell r="BI43">
            <v>1.522</v>
          </cell>
          <cell r="BJ43">
            <v>1.2870000000000001</v>
          </cell>
          <cell r="BK43">
            <v>2.0539999999999998</v>
          </cell>
          <cell r="BL43">
            <v>1.7290000000000001</v>
          </cell>
          <cell r="BM43">
            <v>1.8915</v>
          </cell>
        </row>
        <row r="44">
          <cell r="BB44" t="str">
            <v>2010年</v>
          </cell>
          <cell r="BC44">
            <v>2010</v>
          </cell>
          <cell r="BD44">
            <v>1.05</v>
          </cell>
          <cell r="BE44">
            <v>1.0416666666666667</v>
          </cell>
          <cell r="BF44">
            <v>-1.1243750000000001</v>
          </cell>
          <cell r="BG44">
            <v>-0.75875000000000004</v>
          </cell>
          <cell r="BH44">
            <v>-0.94156250000000008</v>
          </cell>
          <cell r="BI44">
            <v>1.575</v>
          </cell>
          <cell r="BJ44">
            <v>1.31</v>
          </cell>
          <cell r="BK44">
            <v>2.125</v>
          </cell>
          <cell r="BL44">
            <v>1.76</v>
          </cell>
          <cell r="BM44">
            <v>1.9424999999999999</v>
          </cell>
        </row>
        <row r="45">
          <cell r="BB45" t="str">
            <v>2011年</v>
          </cell>
          <cell r="BC45">
            <v>2011</v>
          </cell>
          <cell r="BD45">
            <v>1.05</v>
          </cell>
          <cell r="BE45">
            <v>1.0416666666666667</v>
          </cell>
          <cell r="BF45">
            <v>-1.1952499999999999</v>
          </cell>
          <cell r="BG45">
            <v>-0.78949999999999998</v>
          </cell>
          <cell r="BH45">
            <v>-0.99237500000000001</v>
          </cell>
          <cell r="BI45">
            <v>1.6279999999999999</v>
          </cell>
          <cell r="BJ45">
            <v>1.3330000000000002</v>
          </cell>
          <cell r="BK45">
            <v>2.1959999999999997</v>
          </cell>
          <cell r="BL45">
            <v>1.7909999999999999</v>
          </cell>
          <cell r="BM45">
            <v>1.9934999999999998</v>
          </cell>
        </row>
        <row r="46">
          <cell r="BB46" t="str">
            <v>2012年</v>
          </cell>
          <cell r="BC46">
            <v>2012</v>
          </cell>
          <cell r="BD46">
            <v>1.05</v>
          </cell>
          <cell r="BE46">
            <v>1.0416666666666667</v>
          </cell>
          <cell r="BF46">
            <v>-1.2661249999999999</v>
          </cell>
          <cell r="BG46">
            <v>-0.82024999999999992</v>
          </cell>
          <cell r="BH46">
            <v>-1.0431874999999999</v>
          </cell>
          <cell r="BI46">
            <v>1.6809999999999998</v>
          </cell>
          <cell r="BJ46">
            <v>1.3560000000000001</v>
          </cell>
          <cell r="BK46">
            <v>2.2669999999999999</v>
          </cell>
          <cell r="BL46">
            <v>1.8220000000000001</v>
          </cell>
          <cell r="BM46">
            <v>2.0445000000000002</v>
          </cell>
        </row>
        <row r="47">
          <cell r="BB47" t="str">
            <v>2013年</v>
          </cell>
          <cell r="BC47">
            <v>2013</v>
          </cell>
          <cell r="BD47">
            <v>1.05</v>
          </cell>
          <cell r="BE47">
            <v>1.0416666666666667</v>
          </cell>
          <cell r="BF47">
            <v>-1.337</v>
          </cell>
          <cell r="BG47">
            <v>-0.85099999999999998</v>
          </cell>
          <cell r="BH47">
            <v>-1.0939999999999999</v>
          </cell>
          <cell r="BI47">
            <v>1.734</v>
          </cell>
          <cell r="BJ47">
            <v>1.379</v>
          </cell>
          <cell r="BK47">
            <v>2.3380000000000001</v>
          </cell>
          <cell r="BL47">
            <v>1.853</v>
          </cell>
          <cell r="BM47">
            <v>2.0954999999999999</v>
          </cell>
        </row>
        <row r="48">
          <cell r="BB48" t="str">
            <v>2014年</v>
          </cell>
          <cell r="BC48">
            <v>2014</v>
          </cell>
          <cell r="BD48">
            <v>1.05</v>
          </cell>
          <cell r="BE48">
            <v>1.0416666666666667</v>
          </cell>
          <cell r="BF48">
            <v>-1.407875</v>
          </cell>
          <cell r="BG48">
            <v>-0.88175000000000003</v>
          </cell>
          <cell r="BH48">
            <v>-1.1448125</v>
          </cell>
          <cell r="BI48">
            <v>1.7869999999999999</v>
          </cell>
          <cell r="BJ48">
            <v>1.4020000000000001</v>
          </cell>
          <cell r="BK48">
            <v>2.4089999999999998</v>
          </cell>
          <cell r="BL48">
            <v>1.8840000000000001</v>
          </cell>
          <cell r="BM48">
            <v>2.1465000000000001</v>
          </cell>
        </row>
        <row r="49">
          <cell r="BB49" t="str">
            <v>2015年以降</v>
          </cell>
          <cell r="BC49">
            <v>2015</v>
          </cell>
          <cell r="BD49">
            <v>1.05</v>
          </cell>
          <cell r="BE49">
            <v>1.0416666666666667</v>
          </cell>
          <cell r="BF49">
            <v>-1.47875</v>
          </cell>
          <cell r="BG49">
            <v>-0.91249999999999998</v>
          </cell>
          <cell r="BH49">
            <v>-1.1956249999999999</v>
          </cell>
          <cell r="BI49">
            <v>1.8399999999999999</v>
          </cell>
          <cell r="BJ49">
            <v>1.425</v>
          </cell>
          <cell r="BK49">
            <v>2.48</v>
          </cell>
          <cell r="BL49">
            <v>1.915</v>
          </cell>
          <cell r="BM49">
            <v>2.1974999999999998</v>
          </cell>
        </row>
        <row r="50">
          <cell r="BB50" t="str">
            <v>不明</v>
          </cell>
          <cell r="BC50">
            <v>2009</v>
          </cell>
          <cell r="BD50">
            <v>1.05</v>
          </cell>
          <cell r="BE50">
            <v>1.0416666666666667</v>
          </cell>
          <cell r="BF50">
            <v>-1.5496249999999998</v>
          </cell>
          <cell r="BG50">
            <v>-0.94324999999999992</v>
          </cell>
          <cell r="BH50">
            <v>-1.2464374999999999</v>
          </cell>
          <cell r="BI50">
            <v>1.8929999999999998</v>
          </cell>
          <cell r="BJ50">
            <v>1.448</v>
          </cell>
          <cell r="BK50">
            <v>2.5510000000000002</v>
          </cell>
          <cell r="BL50">
            <v>1.9460000000000002</v>
          </cell>
          <cell r="BM50">
            <v>2.2484999999999999</v>
          </cell>
        </row>
        <row r="51">
          <cell r="BC51">
            <v>2016</v>
          </cell>
          <cell r="BD51">
            <v>1.05</v>
          </cell>
          <cell r="BE51">
            <v>1.0416666666666667</v>
          </cell>
          <cell r="BF51">
            <v>-1.6204999999999998</v>
          </cell>
          <cell r="BG51">
            <v>-0.97399999999999998</v>
          </cell>
          <cell r="BH51">
            <v>-1.29725</v>
          </cell>
          <cell r="BI51">
            <v>1.9459999999999997</v>
          </cell>
          <cell r="BJ51">
            <v>1.4710000000000001</v>
          </cell>
          <cell r="BK51">
            <v>2.6219999999999999</v>
          </cell>
          <cell r="BL51">
            <v>1.9770000000000001</v>
          </cell>
          <cell r="BM51">
            <v>2.2995000000000001</v>
          </cell>
        </row>
        <row r="52">
          <cell r="BC52">
            <v>2017</v>
          </cell>
          <cell r="BD52">
            <v>1.05</v>
          </cell>
          <cell r="BE52">
            <v>1.0416666666666667</v>
          </cell>
          <cell r="BF52">
            <v>-1.6913749999999999</v>
          </cell>
          <cell r="BG52">
            <v>-1.00475</v>
          </cell>
          <cell r="BH52">
            <v>-1.3480624999999999</v>
          </cell>
          <cell r="BI52">
            <v>1.9989999999999997</v>
          </cell>
          <cell r="BJ52">
            <v>1.494</v>
          </cell>
          <cell r="BK52">
            <v>2.6930000000000001</v>
          </cell>
          <cell r="BL52">
            <v>2.008</v>
          </cell>
          <cell r="BM52">
            <v>2.3505000000000003</v>
          </cell>
        </row>
        <row r="53">
          <cell r="BC53">
            <v>2018</v>
          </cell>
          <cell r="BD53">
            <v>1.05</v>
          </cell>
          <cell r="BE53">
            <v>1.0416666666666667</v>
          </cell>
          <cell r="BF53">
            <v>-1.7036249999999999</v>
          </cell>
          <cell r="BG53">
            <v>-1.0661250000000002</v>
          </cell>
          <cell r="BH53">
            <v>-1.3848750000000001</v>
          </cell>
          <cell r="BI53">
            <v>2.0110000000000001</v>
          </cell>
          <cell r="BJ53">
            <v>1.5427499999999998</v>
          </cell>
          <cell r="BK53">
            <v>2.7087499999999998</v>
          </cell>
          <cell r="BL53">
            <v>2.0732499999999998</v>
          </cell>
          <cell r="BM53">
            <v>2.391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3.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119"/>
  <sheetViews>
    <sheetView zoomScaleNormal="100" workbookViewId="0">
      <selection activeCell="F76" sqref="F76"/>
    </sheetView>
  </sheetViews>
  <sheetFormatPr defaultColWidth="9" defaultRowHeight="13"/>
  <cols>
    <col min="1" max="1" width="3.26953125" style="1" customWidth="1"/>
    <col min="2" max="2" width="15.453125" style="1" customWidth="1"/>
    <col min="3" max="3" width="8.7265625" style="1" customWidth="1"/>
    <col min="4" max="6" width="11.6328125" style="1" customWidth="1"/>
    <col min="7" max="10" width="9" style="1"/>
    <col min="11" max="11" width="12" style="1" customWidth="1"/>
    <col min="12" max="16384" width="9" style="1"/>
  </cols>
  <sheetData>
    <row r="1" spans="1:11" ht="21" customHeight="1">
      <c r="A1" s="1128" t="s">
        <v>240</v>
      </c>
      <c r="B1" s="1128"/>
      <c r="C1" s="1128"/>
      <c r="D1" s="1128"/>
      <c r="E1" s="1128"/>
      <c r="F1" s="1128"/>
      <c r="G1" s="1128"/>
      <c r="H1" s="1128"/>
      <c r="I1" s="1128"/>
      <c r="J1" s="1128"/>
      <c r="K1" s="1" t="s">
        <v>377</v>
      </c>
    </row>
    <row r="2" spans="1:11">
      <c r="B2" s="81"/>
    </row>
    <row r="3" spans="1:11">
      <c r="B3" s="250" t="s">
        <v>378</v>
      </c>
    </row>
    <row r="4" spans="1:11">
      <c r="B4" s="250" t="s">
        <v>380</v>
      </c>
    </row>
    <row r="5" spans="1:11">
      <c r="A5" s="81">
        <v>1</v>
      </c>
      <c r="B5" s="81" t="s">
        <v>200</v>
      </c>
    </row>
    <row r="6" spans="1:11">
      <c r="B6" s="82" t="s">
        <v>358</v>
      </c>
    </row>
    <row r="7" spans="1:11">
      <c r="B7" s="161" t="s">
        <v>361</v>
      </c>
    </row>
    <row r="8" spans="1:11">
      <c r="B8" s="1129" t="s">
        <v>398</v>
      </c>
      <c r="C8" s="1129"/>
      <c r="D8" s="1129"/>
    </row>
    <row r="9" spans="1:11">
      <c r="B9" s="4" t="s">
        <v>185</v>
      </c>
      <c r="C9" s="4" t="s">
        <v>50</v>
      </c>
      <c r="D9" s="4" t="s">
        <v>186</v>
      </c>
    </row>
    <row r="10" spans="1:11">
      <c r="B10" s="4" t="s">
        <v>61</v>
      </c>
      <c r="C10" s="4" t="s">
        <v>10</v>
      </c>
      <c r="D10" s="14">
        <v>100</v>
      </c>
      <c r="G10" s="22" t="s">
        <v>63</v>
      </c>
    </row>
    <row r="11" spans="1:11">
      <c r="B11" s="1130" t="s">
        <v>62</v>
      </c>
      <c r="C11" s="4" t="s">
        <v>63</v>
      </c>
      <c r="D11" s="14">
        <v>10</v>
      </c>
      <c r="F11" s="1" t="s">
        <v>70</v>
      </c>
      <c r="I11" s="1" t="s">
        <v>64</v>
      </c>
    </row>
    <row r="12" spans="1:11">
      <c r="B12" s="1130"/>
      <c r="C12" s="4" t="s">
        <v>64</v>
      </c>
      <c r="D12" s="14">
        <v>10</v>
      </c>
    </row>
    <row r="13" spans="1:11">
      <c r="B13" s="1130"/>
      <c r="C13" s="4" t="s">
        <v>65</v>
      </c>
      <c r="D13" s="14">
        <v>10</v>
      </c>
    </row>
    <row r="14" spans="1:11">
      <c r="B14" s="1130"/>
      <c r="C14" s="4" t="s">
        <v>66</v>
      </c>
      <c r="D14" s="14">
        <v>10</v>
      </c>
    </row>
    <row r="15" spans="1:11">
      <c r="B15" s="1130"/>
      <c r="C15" s="4" t="s">
        <v>67</v>
      </c>
      <c r="D15" s="14">
        <v>10</v>
      </c>
    </row>
    <row r="16" spans="1:11">
      <c r="B16" s="1130"/>
      <c r="C16" s="4" t="s">
        <v>68</v>
      </c>
      <c r="D16" s="14">
        <v>10</v>
      </c>
    </row>
    <row r="17" spans="2:10">
      <c r="B17" s="1130"/>
      <c r="C17" s="4" t="s">
        <v>69</v>
      </c>
      <c r="D17" s="14">
        <v>10</v>
      </c>
      <c r="E17" s="83" t="s">
        <v>69</v>
      </c>
      <c r="J17" s="1" t="s">
        <v>65</v>
      </c>
    </row>
    <row r="18" spans="2:10">
      <c r="B18" s="1130"/>
      <c r="C18" s="4" t="s">
        <v>70</v>
      </c>
      <c r="D18" s="14">
        <v>10</v>
      </c>
    </row>
    <row r="19" spans="2:10">
      <c r="B19" s="1130" t="s">
        <v>71</v>
      </c>
      <c r="C19" s="4" t="s">
        <v>63</v>
      </c>
      <c r="D19" s="14">
        <v>10</v>
      </c>
    </row>
    <row r="20" spans="2:10">
      <c r="B20" s="1130"/>
      <c r="C20" s="4" t="s">
        <v>64</v>
      </c>
      <c r="D20" s="14">
        <v>10</v>
      </c>
    </row>
    <row r="21" spans="2:10">
      <c r="B21" s="1130"/>
      <c r="C21" s="4" t="s">
        <v>65</v>
      </c>
      <c r="D21" s="14">
        <v>10</v>
      </c>
    </row>
    <row r="22" spans="2:10">
      <c r="B22" s="1130"/>
      <c r="C22" s="4" t="s">
        <v>66</v>
      </c>
      <c r="D22" s="14">
        <v>10</v>
      </c>
    </row>
    <row r="23" spans="2:10">
      <c r="B23" s="1130"/>
      <c r="C23" s="4" t="s">
        <v>67</v>
      </c>
      <c r="D23" s="14">
        <v>10</v>
      </c>
    </row>
    <row r="24" spans="2:10">
      <c r="B24" s="1130"/>
      <c r="C24" s="4" t="s">
        <v>68</v>
      </c>
      <c r="D24" s="14">
        <v>10</v>
      </c>
      <c r="F24" s="1" t="s">
        <v>68</v>
      </c>
      <c r="I24" s="1" t="s">
        <v>66</v>
      </c>
    </row>
    <row r="25" spans="2:10">
      <c r="B25" s="1130"/>
      <c r="C25" s="4" t="s">
        <v>69</v>
      </c>
      <c r="D25" s="14">
        <v>10</v>
      </c>
    </row>
    <row r="26" spans="2:10" ht="13.5" thickBot="1">
      <c r="B26" s="1130"/>
      <c r="C26" s="4" t="s">
        <v>70</v>
      </c>
      <c r="D26" s="14">
        <v>10</v>
      </c>
      <c r="G26" s="22" t="s">
        <v>67</v>
      </c>
    </row>
    <row r="27" spans="2:10" ht="13.5" thickBot="1">
      <c r="F27" s="1131" t="s">
        <v>359</v>
      </c>
      <c r="G27" s="1132"/>
      <c r="H27" s="1132"/>
      <c r="I27" s="1119"/>
    </row>
    <row r="28" spans="2:10">
      <c r="G28" s="22" t="s">
        <v>63</v>
      </c>
    </row>
    <row r="29" spans="2:10">
      <c r="F29" s="1" t="s">
        <v>70</v>
      </c>
      <c r="I29" s="1" t="s">
        <v>64</v>
      </c>
    </row>
    <row r="35" spans="1:10">
      <c r="E35" s="83" t="s">
        <v>69</v>
      </c>
      <c r="J35" s="1" t="s">
        <v>65</v>
      </c>
    </row>
    <row r="42" spans="1:10">
      <c r="F42" s="1" t="s">
        <v>68</v>
      </c>
      <c r="I42" s="1" t="s">
        <v>66</v>
      </c>
    </row>
    <row r="43" spans="1:10" ht="13.5" thickBot="1">
      <c r="G43" s="22" t="s">
        <v>67</v>
      </c>
    </row>
    <row r="44" spans="1:10" ht="13.5" thickBot="1">
      <c r="F44" s="1131" t="s">
        <v>360</v>
      </c>
      <c r="G44" s="1132"/>
      <c r="H44" s="1132"/>
      <c r="I44" s="1119"/>
    </row>
    <row r="45" spans="1:10">
      <c r="A45" s="81">
        <v>2</v>
      </c>
      <c r="B45" s="81" t="s">
        <v>242</v>
      </c>
      <c r="F45" s="22"/>
      <c r="G45" s="22"/>
      <c r="H45" s="22"/>
      <c r="I45" s="22"/>
    </row>
    <row r="46" spans="1:10">
      <c r="B46" s="1" t="s">
        <v>244</v>
      </c>
      <c r="F46" s="22"/>
      <c r="G46" s="22"/>
      <c r="H46" s="22"/>
      <c r="I46" s="22"/>
    </row>
    <row r="47" spans="1:10">
      <c r="B47" s="1129" t="s">
        <v>399</v>
      </c>
      <c r="C47" s="1129"/>
      <c r="D47" s="1129"/>
      <c r="E47" s="1129"/>
      <c r="F47" s="22"/>
      <c r="G47" s="22"/>
      <c r="H47" s="22"/>
      <c r="I47" s="22"/>
    </row>
    <row r="48" spans="1:10">
      <c r="B48" s="8" t="s">
        <v>243</v>
      </c>
      <c r="C48" s="1133">
        <v>2000000</v>
      </c>
      <c r="D48" s="1133"/>
      <c r="E48" s="11" t="s">
        <v>196</v>
      </c>
      <c r="F48" s="22"/>
      <c r="G48" s="22"/>
      <c r="H48" s="22"/>
      <c r="I48" s="22"/>
    </row>
    <row r="49" spans="1:10">
      <c r="A49" s="81">
        <v>3</v>
      </c>
      <c r="B49" s="81" t="s">
        <v>595</v>
      </c>
    </row>
    <row r="50" spans="1:10">
      <c r="B50" s="1" t="s">
        <v>194</v>
      </c>
    </row>
    <row r="51" spans="1:10">
      <c r="B51" s="1" t="s">
        <v>227</v>
      </c>
    </row>
    <row r="52" spans="1:10">
      <c r="B52" s="82" t="s">
        <v>230</v>
      </c>
    </row>
    <row r="53" spans="1:10">
      <c r="B53" s="82" t="s">
        <v>229</v>
      </c>
    </row>
    <row r="54" spans="1:10">
      <c r="B54" s="1129" t="s">
        <v>592</v>
      </c>
      <c r="C54" s="1129"/>
      <c r="D54" s="1129"/>
      <c r="E54" s="1129"/>
    </row>
    <row r="55" spans="1:10">
      <c r="B55" s="8" t="s">
        <v>192</v>
      </c>
      <c r="C55" s="211">
        <f>温度条件他根拠!D70</f>
        <v>3.91</v>
      </c>
      <c r="D55" s="9" t="s">
        <v>57</v>
      </c>
      <c r="E55" s="11"/>
    </row>
    <row r="56" spans="1:10">
      <c r="B56" s="1" t="s">
        <v>228</v>
      </c>
    </row>
    <row r="57" spans="1:10">
      <c r="B57" s="82" t="s">
        <v>230</v>
      </c>
    </row>
    <row r="58" spans="1:10">
      <c r="B58" s="1129" t="s">
        <v>593</v>
      </c>
      <c r="C58" s="1129"/>
      <c r="D58" s="1129"/>
      <c r="E58" s="1129"/>
    </row>
    <row r="59" spans="1:10">
      <c r="B59" s="8" t="s">
        <v>157</v>
      </c>
      <c r="C59" s="9"/>
      <c r="D59" s="255">
        <v>0.7</v>
      </c>
      <c r="E59" s="11"/>
    </row>
    <row r="60" spans="1:10">
      <c r="B60" s="1" t="s">
        <v>195</v>
      </c>
    </row>
    <row r="61" spans="1:10">
      <c r="B61" s="1" t="s">
        <v>227</v>
      </c>
      <c r="G61" s="88" t="s">
        <v>381</v>
      </c>
      <c r="H61" s="88"/>
      <c r="I61" s="88"/>
      <c r="J61" s="88"/>
    </row>
    <row r="62" spans="1:10">
      <c r="B62" s="82" t="s">
        <v>231</v>
      </c>
      <c r="G62" s="88" t="s">
        <v>232</v>
      </c>
      <c r="H62" s="88"/>
      <c r="I62" s="88"/>
      <c r="J62" s="88"/>
    </row>
    <row r="63" spans="1:10">
      <c r="B63" s="82" t="s">
        <v>229</v>
      </c>
      <c r="G63" s="88" t="s">
        <v>235</v>
      </c>
      <c r="H63" s="88"/>
      <c r="I63" s="88"/>
      <c r="J63" s="88"/>
    </row>
    <row r="64" spans="1:10" ht="13.5" thickBot="1">
      <c r="B64" s="1126" t="s">
        <v>591</v>
      </c>
      <c r="C64" s="1126"/>
      <c r="D64" s="1126"/>
      <c r="E64" s="1126"/>
      <c r="G64" s="1127" t="s">
        <v>401</v>
      </c>
      <c r="H64" s="1127"/>
      <c r="I64" s="1127"/>
    </row>
    <row r="65" spans="2:11" ht="13.5" thickBot="1">
      <c r="B65" s="126" t="s">
        <v>226</v>
      </c>
      <c r="C65" s="141" t="s">
        <v>50</v>
      </c>
      <c r="D65" s="1118" t="s">
        <v>52</v>
      </c>
      <c r="E65" s="1119"/>
      <c r="G65" s="216" t="s">
        <v>226</v>
      </c>
      <c r="H65" s="217" t="s">
        <v>50</v>
      </c>
      <c r="I65" s="218" t="s">
        <v>52</v>
      </c>
      <c r="J65" s="88"/>
    </row>
    <row r="66" spans="2:11">
      <c r="B66" s="1120" t="s">
        <v>62</v>
      </c>
      <c r="C66" s="29" t="s">
        <v>63</v>
      </c>
      <c r="D66" s="260">
        <f>温度条件他根拠!D71</f>
        <v>1.18</v>
      </c>
      <c r="E66" s="261" t="s">
        <v>57</v>
      </c>
      <c r="G66" s="1123" t="s">
        <v>62</v>
      </c>
      <c r="H66" s="219" t="s">
        <v>63</v>
      </c>
      <c r="I66" s="220">
        <v>1.18</v>
      </c>
      <c r="J66" s="88" t="s">
        <v>234</v>
      </c>
    </row>
    <row r="67" spans="2:11">
      <c r="B67" s="1121"/>
      <c r="C67" s="4" t="s">
        <v>64</v>
      </c>
      <c r="D67" s="256">
        <f>温度条件他根拠!$D$71</f>
        <v>1.18</v>
      </c>
      <c r="E67" s="257" t="s">
        <v>57</v>
      </c>
      <c r="G67" s="1124"/>
      <c r="H67" s="221" t="s">
        <v>64</v>
      </c>
      <c r="I67" s="222">
        <v>0.8</v>
      </c>
      <c r="J67" s="223" t="s">
        <v>236</v>
      </c>
    </row>
    <row r="68" spans="2:11">
      <c r="B68" s="1121"/>
      <c r="C68" s="4" t="s">
        <v>65</v>
      </c>
      <c r="D68" s="256">
        <f>温度条件他根拠!$D$71</f>
        <v>1.18</v>
      </c>
      <c r="E68" s="257" t="s">
        <v>400</v>
      </c>
      <c r="G68" s="1124"/>
      <c r="H68" s="221" t="s">
        <v>65</v>
      </c>
      <c r="I68" s="222">
        <v>0.8</v>
      </c>
      <c r="J68" s="223" t="s">
        <v>236</v>
      </c>
    </row>
    <row r="69" spans="2:11">
      <c r="B69" s="1121"/>
      <c r="C69" s="4" t="s">
        <v>66</v>
      </c>
      <c r="D69" s="256">
        <f>温度条件他根拠!$D$71</f>
        <v>1.18</v>
      </c>
      <c r="E69" s="257" t="s">
        <v>400</v>
      </c>
      <c r="G69" s="1124"/>
      <c r="H69" s="221" t="s">
        <v>66</v>
      </c>
      <c r="I69" s="222">
        <v>0.8</v>
      </c>
      <c r="J69" s="223" t="s">
        <v>236</v>
      </c>
    </row>
    <row r="70" spans="2:11">
      <c r="B70" s="1121"/>
      <c r="C70" s="4" t="s">
        <v>67</v>
      </c>
      <c r="D70" s="256">
        <f>温度条件他根拠!$D$71</f>
        <v>1.18</v>
      </c>
      <c r="E70" s="257" t="s">
        <v>400</v>
      </c>
      <c r="G70" s="1124"/>
      <c r="H70" s="21" t="s">
        <v>67</v>
      </c>
      <c r="I70" s="224">
        <v>1.18</v>
      </c>
      <c r="J70" s="88" t="s">
        <v>234</v>
      </c>
    </row>
    <row r="71" spans="2:11">
      <c r="B71" s="1121"/>
      <c r="C71" s="4" t="s">
        <v>68</v>
      </c>
      <c r="D71" s="256">
        <f>温度条件他根拠!$D$71</f>
        <v>1.18</v>
      </c>
      <c r="E71" s="257" t="s">
        <v>400</v>
      </c>
      <c r="G71" s="1124"/>
      <c r="H71" s="21" t="s">
        <v>68</v>
      </c>
      <c r="I71" s="224">
        <v>1.18</v>
      </c>
      <c r="J71" s="88" t="s">
        <v>234</v>
      </c>
    </row>
    <row r="72" spans="2:11">
      <c r="B72" s="1121"/>
      <c r="C72" s="4" t="s">
        <v>69</v>
      </c>
      <c r="D72" s="256">
        <f>温度条件他根拠!$D$71</f>
        <v>1.18</v>
      </c>
      <c r="E72" s="257" t="s">
        <v>400</v>
      </c>
      <c r="G72" s="1124"/>
      <c r="H72" s="21" t="s">
        <v>69</v>
      </c>
      <c r="I72" s="224">
        <v>1.18</v>
      </c>
      <c r="J72" s="88" t="s">
        <v>234</v>
      </c>
    </row>
    <row r="73" spans="2:11" ht="13.5" thickBot="1">
      <c r="B73" s="1122"/>
      <c r="C73" s="31" t="s">
        <v>70</v>
      </c>
      <c r="D73" s="258">
        <f>温度条件他根拠!$D$71</f>
        <v>1.18</v>
      </c>
      <c r="E73" s="259" t="s">
        <v>400</v>
      </c>
      <c r="G73" s="1125"/>
      <c r="H73" s="225" t="s">
        <v>70</v>
      </c>
      <c r="I73" s="226">
        <v>1.18</v>
      </c>
      <c r="J73" s="88" t="s">
        <v>234</v>
      </c>
    </row>
    <row r="74" spans="2:11">
      <c r="B74" s="1" t="s">
        <v>228</v>
      </c>
      <c r="G74" s="88" t="s">
        <v>381</v>
      </c>
      <c r="H74" s="88"/>
      <c r="I74" s="88"/>
      <c r="J74" s="88"/>
      <c r="K74" s="88"/>
    </row>
    <row r="75" spans="2:11">
      <c r="B75" s="82" t="s">
        <v>231</v>
      </c>
      <c r="G75" s="88" t="s">
        <v>232</v>
      </c>
      <c r="H75" s="88"/>
      <c r="I75" s="88"/>
      <c r="J75" s="88"/>
      <c r="K75" s="88"/>
    </row>
    <row r="76" spans="2:11">
      <c r="B76" s="82" t="s">
        <v>229</v>
      </c>
      <c r="G76" s="88" t="s">
        <v>596</v>
      </c>
      <c r="H76" s="88"/>
      <c r="I76" s="88"/>
      <c r="J76" s="88"/>
      <c r="K76" s="88"/>
    </row>
    <row r="77" spans="2:11" ht="13.5" thickBot="1">
      <c r="B77" s="1126" t="s">
        <v>594</v>
      </c>
      <c r="C77" s="1126"/>
      <c r="D77" s="1126"/>
      <c r="E77" s="1126"/>
      <c r="G77" s="1127" t="s">
        <v>403</v>
      </c>
      <c r="H77" s="1127"/>
      <c r="I77" s="1127"/>
      <c r="K77" s="88"/>
    </row>
    <row r="78" spans="2:11" ht="13.5" thickBot="1">
      <c r="B78" s="126" t="s">
        <v>226</v>
      </c>
      <c r="C78" s="141" t="s">
        <v>50</v>
      </c>
      <c r="D78" s="141" t="s">
        <v>587</v>
      </c>
      <c r="E78" s="167" t="s">
        <v>402</v>
      </c>
      <c r="G78" s="216" t="s">
        <v>226</v>
      </c>
      <c r="H78" s="217" t="s">
        <v>50</v>
      </c>
      <c r="I78" s="218" t="s">
        <v>587</v>
      </c>
      <c r="J78" s="88"/>
      <c r="K78" s="88"/>
    </row>
    <row r="79" spans="2:11">
      <c r="B79" s="1120" t="s">
        <v>62</v>
      </c>
      <c r="C79" s="29" t="s">
        <v>63</v>
      </c>
      <c r="D79" s="263">
        <v>0.7</v>
      </c>
      <c r="E79" s="261"/>
      <c r="G79" s="1123" t="s">
        <v>62</v>
      </c>
      <c r="H79" s="219" t="s">
        <v>63</v>
      </c>
      <c r="I79" s="220">
        <v>0.7</v>
      </c>
      <c r="J79" s="88" t="s">
        <v>234</v>
      </c>
      <c r="K79" s="88"/>
    </row>
    <row r="80" spans="2:11">
      <c r="B80" s="1121"/>
      <c r="C80" s="4" t="s">
        <v>64</v>
      </c>
      <c r="D80" s="14">
        <v>0.7</v>
      </c>
      <c r="E80" s="257"/>
      <c r="G80" s="1124"/>
      <c r="H80" s="221" t="s">
        <v>64</v>
      </c>
      <c r="I80" s="222">
        <v>0.3</v>
      </c>
      <c r="J80" s="223" t="s">
        <v>233</v>
      </c>
      <c r="K80" s="88"/>
    </row>
    <row r="81" spans="2:11">
      <c r="B81" s="1121"/>
      <c r="C81" s="4" t="s">
        <v>65</v>
      </c>
      <c r="D81" s="14">
        <v>0.7</v>
      </c>
      <c r="E81" s="257"/>
      <c r="G81" s="1124"/>
      <c r="H81" s="221" t="s">
        <v>65</v>
      </c>
      <c r="I81" s="222">
        <v>0.3</v>
      </c>
      <c r="J81" s="223" t="s">
        <v>233</v>
      </c>
      <c r="K81" s="88"/>
    </row>
    <row r="82" spans="2:11">
      <c r="B82" s="1121"/>
      <c r="C82" s="4" t="s">
        <v>66</v>
      </c>
      <c r="D82" s="14">
        <v>0.7</v>
      </c>
      <c r="E82" s="257"/>
      <c r="G82" s="1124"/>
      <c r="H82" s="221" t="s">
        <v>66</v>
      </c>
      <c r="I82" s="222">
        <v>0.3</v>
      </c>
      <c r="J82" s="223" t="s">
        <v>233</v>
      </c>
      <c r="K82" s="88"/>
    </row>
    <row r="83" spans="2:11">
      <c r="B83" s="1121"/>
      <c r="C83" s="4" t="s">
        <v>67</v>
      </c>
      <c r="D83" s="14">
        <v>0.7</v>
      </c>
      <c r="E83" s="257"/>
      <c r="G83" s="1124"/>
      <c r="H83" s="21" t="s">
        <v>67</v>
      </c>
      <c r="I83" s="224">
        <v>0.7</v>
      </c>
      <c r="J83" s="88" t="s">
        <v>234</v>
      </c>
      <c r="K83" s="88"/>
    </row>
    <row r="84" spans="2:11">
      <c r="B84" s="1121"/>
      <c r="C84" s="4" t="s">
        <v>68</v>
      </c>
      <c r="D84" s="14">
        <v>0.7</v>
      </c>
      <c r="E84" s="257"/>
      <c r="G84" s="1124"/>
      <c r="H84" s="21" t="s">
        <v>68</v>
      </c>
      <c r="I84" s="224">
        <v>0.7</v>
      </c>
      <c r="J84" s="88" t="s">
        <v>234</v>
      </c>
      <c r="K84" s="88"/>
    </row>
    <row r="85" spans="2:11">
      <c r="B85" s="1121"/>
      <c r="C85" s="4" t="s">
        <v>69</v>
      </c>
      <c r="D85" s="14">
        <v>0.7</v>
      </c>
      <c r="E85" s="257"/>
      <c r="G85" s="1124"/>
      <c r="H85" s="21" t="s">
        <v>69</v>
      </c>
      <c r="I85" s="224">
        <v>0.7</v>
      </c>
      <c r="J85" s="88" t="s">
        <v>234</v>
      </c>
      <c r="K85" s="88"/>
    </row>
    <row r="86" spans="2:11" ht="13.5" thickBot="1">
      <c r="B86" s="1122"/>
      <c r="C86" s="31" t="s">
        <v>70</v>
      </c>
      <c r="D86" s="262">
        <v>0.7</v>
      </c>
      <c r="E86" s="259"/>
      <c r="G86" s="1125"/>
      <c r="H86" s="225" t="s">
        <v>70</v>
      </c>
      <c r="I86" s="226">
        <v>0.7</v>
      </c>
      <c r="J86" s="88" t="s">
        <v>234</v>
      </c>
    </row>
    <row r="87" spans="2:11">
      <c r="B87" s="1" t="s">
        <v>588</v>
      </c>
    </row>
    <row r="88" spans="2:11">
      <c r="B88" s="1117" t="s">
        <v>589</v>
      </c>
      <c r="C88" s="1117"/>
      <c r="D88" s="1117"/>
      <c r="E88" s="1117"/>
      <c r="F88" s="1117"/>
      <c r="G88" s="1117"/>
    </row>
    <row r="89" spans="2:11">
      <c r="B89" s="8" t="s">
        <v>603</v>
      </c>
      <c r="C89" s="9"/>
      <c r="D89" s="9"/>
      <c r="E89" s="8">
        <v>5.61</v>
      </c>
      <c r="F89" s="11" t="s">
        <v>57</v>
      </c>
      <c r="G89" s="160">
        <v>0.49</v>
      </c>
    </row>
    <row r="90" spans="2:11">
      <c r="B90" s="8" t="s">
        <v>602</v>
      </c>
      <c r="C90" s="9"/>
      <c r="D90" s="9"/>
      <c r="E90" s="172">
        <v>2.5</v>
      </c>
      <c r="F90" s="11" t="s">
        <v>57</v>
      </c>
      <c r="G90" s="160">
        <v>0.41499999999999998</v>
      </c>
    </row>
    <row r="91" spans="2:11">
      <c r="B91" s="8" t="s">
        <v>604</v>
      </c>
      <c r="C91" s="9"/>
      <c r="D91" s="9"/>
      <c r="E91" s="172">
        <v>1.69</v>
      </c>
      <c r="F91" s="11" t="s">
        <v>57</v>
      </c>
      <c r="G91" s="160">
        <v>0.40799999999999997</v>
      </c>
    </row>
    <row r="92" spans="2:11">
      <c r="B92" s="8" t="s">
        <v>225</v>
      </c>
      <c r="C92" s="9"/>
      <c r="D92" s="9"/>
      <c r="E92" s="173"/>
      <c r="F92" s="11" t="s">
        <v>57</v>
      </c>
      <c r="G92" s="15"/>
    </row>
    <row r="93" spans="2:11">
      <c r="G93" s="88" t="s">
        <v>381</v>
      </c>
      <c r="H93" s="102"/>
      <c r="I93" s="102"/>
      <c r="J93" s="102"/>
      <c r="K93" s="102"/>
    </row>
    <row r="94" spans="2:11">
      <c r="G94" s="88" t="s">
        <v>238</v>
      </c>
      <c r="H94" s="102"/>
      <c r="I94" s="102"/>
      <c r="J94" s="102"/>
      <c r="K94" s="102"/>
    </row>
    <row r="95" spans="2:11">
      <c r="B95" s="82" t="s">
        <v>237</v>
      </c>
      <c r="G95" s="88" t="s">
        <v>605</v>
      </c>
      <c r="H95" s="102"/>
      <c r="I95" s="102"/>
      <c r="J95" s="102"/>
      <c r="K95" s="102"/>
    </row>
    <row r="96" spans="2:11">
      <c r="B96" s="82" t="s">
        <v>229</v>
      </c>
      <c r="G96" s="102" t="s">
        <v>239</v>
      </c>
      <c r="H96" s="102"/>
      <c r="I96" s="102"/>
      <c r="J96" s="102"/>
      <c r="K96" s="102"/>
    </row>
    <row r="97" spans="1:11" ht="13.5" thickBot="1">
      <c r="B97" s="1126" t="s">
        <v>590</v>
      </c>
      <c r="C97" s="1126"/>
      <c r="D97" s="1126"/>
      <c r="E97" s="1126"/>
      <c r="G97" s="1127" t="s">
        <v>404</v>
      </c>
      <c r="H97" s="1127"/>
      <c r="I97" s="1127"/>
      <c r="J97" s="1127"/>
      <c r="K97" s="102"/>
    </row>
    <row r="98" spans="1:11" ht="13.5" thickBot="1">
      <c r="B98" s="126" t="s">
        <v>226</v>
      </c>
      <c r="C98" s="141" t="s">
        <v>50</v>
      </c>
      <c r="D98" s="141" t="s">
        <v>52</v>
      </c>
      <c r="E98" s="167" t="s">
        <v>587</v>
      </c>
      <c r="G98" s="216" t="s">
        <v>226</v>
      </c>
      <c r="H98" s="217" t="s">
        <v>50</v>
      </c>
      <c r="I98" s="217" t="s">
        <v>52</v>
      </c>
      <c r="J98" s="218" t="s">
        <v>587</v>
      </c>
      <c r="K98" s="88"/>
    </row>
    <row r="99" spans="1:11">
      <c r="B99" s="1120" t="s">
        <v>71</v>
      </c>
      <c r="C99" s="29" t="s">
        <v>63</v>
      </c>
      <c r="D99" s="165">
        <f>温度条件他根拠!D72</f>
        <v>5.95</v>
      </c>
      <c r="E99" s="166">
        <f>温度条件他根拠!D73</f>
        <v>0.876</v>
      </c>
      <c r="G99" s="1123" t="s">
        <v>71</v>
      </c>
      <c r="H99" s="219" t="s">
        <v>63</v>
      </c>
      <c r="I99" s="227">
        <v>6.29</v>
      </c>
      <c r="J99" s="228">
        <v>0.96</v>
      </c>
      <c r="K99" s="88" t="s">
        <v>234</v>
      </c>
    </row>
    <row r="100" spans="1:11">
      <c r="B100" s="1121"/>
      <c r="C100" s="4" t="s">
        <v>64</v>
      </c>
      <c r="D100" s="75">
        <f>温度条件他根拠!$D$72</f>
        <v>5.95</v>
      </c>
      <c r="E100" s="163">
        <f>温度条件他根拠!$D$73</f>
        <v>0.876</v>
      </c>
      <c r="G100" s="1124"/>
      <c r="H100" s="21" t="s">
        <v>64</v>
      </c>
      <c r="I100" s="229">
        <v>6.29</v>
      </c>
      <c r="J100" s="230">
        <v>0.96</v>
      </c>
      <c r="K100" s="88" t="s">
        <v>234</v>
      </c>
    </row>
    <row r="101" spans="1:11">
      <c r="B101" s="1121"/>
      <c r="C101" s="4" t="s">
        <v>65</v>
      </c>
      <c r="D101" s="75">
        <f>温度条件他根拠!$D$72</f>
        <v>5.95</v>
      </c>
      <c r="E101" s="163">
        <f>温度条件他根拠!$D$73</f>
        <v>0.876</v>
      </c>
      <c r="G101" s="1124"/>
      <c r="H101" s="21" t="s">
        <v>65</v>
      </c>
      <c r="I101" s="229">
        <v>6.29</v>
      </c>
      <c r="J101" s="230">
        <v>0.96</v>
      </c>
      <c r="K101" s="88" t="s">
        <v>234</v>
      </c>
    </row>
    <row r="102" spans="1:11">
      <c r="B102" s="1121"/>
      <c r="C102" s="4" t="s">
        <v>66</v>
      </c>
      <c r="D102" s="75">
        <f>温度条件他根拠!$D$72</f>
        <v>5.95</v>
      </c>
      <c r="E102" s="163">
        <f>温度条件他根拠!$D$73</f>
        <v>0.876</v>
      </c>
      <c r="G102" s="1124"/>
      <c r="H102" s="21" t="s">
        <v>66</v>
      </c>
      <c r="I102" s="229">
        <v>6.29</v>
      </c>
      <c r="J102" s="230">
        <v>0.96</v>
      </c>
      <c r="K102" s="88" t="s">
        <v>234</v>
      </c>
    </row>
    <row r="103" spans="1:11">
      <c r="B103" s="1121"/>
      <c r="C103" s="4" t="s">
        <v>67</v>
      </c>
      <c r="D103" s="75">
        <f>温度条件他根拠!$D$72</f>
        <v>5.95</v>
      </c>
      <c r="E103" s="163">
        <f>温度条件他根拠!$D$73</f>
        <v>0.876</v>
      </c>
      <c r="G103" s="1124"/>
      <c r="H103" s="221" t="s">
        <v>67</v>
      </c>
      <c r="I103" s="231">
        <v>3</v>
      </c>
      <c r="J103" s="232">
        <v>0.8</v>
      </c>
      <c r="K103" s="223" t="s">
        <v>241</v>
      </c>
    </row>
    <row r="104" spans="1:11">
      <c r="B104" s="1121"/>
      <c r="C104" s="4" t="s">
        <v>68</v>
      </c>
      <c r="D104" s="75">
        <f>温度条件他根拠!$D$72</f>
        <v>5.95</v>
      </c>
      <c r="E104" s="163">
        <f>温度条件他根拠!$D$73</f>
        <v>0.876</v>
      </c>
      <c r="G104" s="1124"/>
      <c r="H104" s="221" t="s">
        <v>68</v>
      </c>
      <c r="I104" s="231">
        <v>3</v>
      </c>
      <c r="J104" s="232">
        <v>0.8</v>
      </c>
      <c r="K104" s="223" t="s">
        <v>241</v>
      </c>
    </row>
    <row r="105" spans="1:11">
      <c r="B105" s="1121"/>
      <c r="C105" s="4" t="s">
        <v>69</v>
      </c>
      <c r="D105" s="75">
        <f>温度条件他根拠!$D$72</f>
        <v>5.95</v>
      </c>
      <c r="E105" s="163">
        <f>温度条件他根拠!$D$73</f>
        <v>0.876</v>
      </c>
      <c r="G105" s="1124"/>
      <c r="H105" s="221" t="s">
        <v>69</v>
      </c>
      <c r="I105" s="231">
        <v>3</v>
      </c>
      <c r="J105" s="232">
        <v>0.8</v>
      </c>
      <c r="K105" s="223" t="s">
        <v>241</v>
      </c>
    </row>
    <row r="106" spans="1:11" ht="13.5" thickBot="1">
      <c r="B106" s="1122"/>
      <c r="C106" s="31" t="s">
        <v>70</v>
      </c>
      <c r="D106" s="76">
        <f>温度条件他根拠!D72</f>
        <v>5.95</v>
      </c>
      <c r="E106" s="164">
        <f>温度条件他根拠!D73</f>
        <v>0.876</v>
      </c>
      <c r="G106" s="1125"/>
      <c r="H106" s="225" t="s">
        <v>70</v>
      </c>
      <c r="I106" s="233">
        <v>6.29</v>
      </c>
      <c r="J106" s="234">
        <v>0.96</v>
      </c>
      <c r="K106" s="88" t="s">
        <v>234</v>
      </c>
    </row>
    <row r="107" spans="1:11" ht="13.5" thickBot="1"/>
    <row r="108" spans="1:11">
      <c r="A108" s="247">
        <v>4</v>
      </c>
      <c r="B108" s="248" t="s">
        <v>197</v>
      </c>
      <c r="C108" s="235"/>
      <c r="D108" s="235"/>
      <c r="E108" s="235"/>
      <c r="F108" s="235"/>
      <c r="G108" s="235"/>
      <c r="H108" s="235"/>
      <c r="I108" s="235"/>
      <c r="J108" s="235"/>
      <c r="K108" s="236"/>
    </row>
    <row r="109" spans="1:11">
      <c r="A109" s="237"/>
      <c r="K109" s="238"/>
    </row>
    <row r="110" spans="1:11">
      <c r="A110" s="237"/>
      <c r="B110" s="1" t="s">
        <v>379</v>
      </c>
      <c r="K110" s="238"/>
    </row>
    <row r="111" spans="1:11">
      <c r="A111" s="237"/>
      <c r="B111" s="1117" t="s">
        <v>405</v>
      </c>
      <c r="C111" s="1117"/>
      <c r="D111" s="1117"/>
      <c r="E111" s="1117"/>
      <c r="F111" s="1117"/>
      <c r="K111" s="238"/>
    </row>
    <row r="112" spans="1:11" ht="20.149999999999999" customHeight="1">
      <c r="A112" s="237"/>
      <c r="B112" s="4" t="s">
        <v>81</v>
      </c>
      <c r="C112" s="4" t="s">
        <v>15</v>
      </c>
      <c r="D112" s="4" t="s">
        <v>4</v>
      </c>
      <c r="E112" s="4" t="s">
        <v>5</v>
      </c>
      <c r="F112" s="4" t="s">
        <v>6</v>
      </c>
      <c r="K112" s="238"/>
    </row>
    <row r="113" spans="1:11" ht="20.149999999999999" customHeight="1">
      <c r="A113" s="237"/>
      <c r="B113" s="2" t="s">
        <v>198</v>
      </c>
      <c r="C113" s="4" t="s">
        <v>196</v>
      </c>
      <c r="D113" s="13" t="e">
        <f>#REF!</f>
        <v>#REF!</v>
      </c>
      <c r="E113" s="13">
        <f>熊谷市!E20</f>
        <v>0</v>
      </c>
      <c r="F113" s="13">
        <f>秩父市!E20</f>
        <v>0</v>
      </c>
      <c r="K113" s="238"/>
    </row>
    <row r="114" spans="1:11" ht="20.149999999999999" customHeight="1">
      <c r="A114" s="237"/>
      <c r="B114" s="2" t="s">
        <v>199</v>
      </c>
      <c r="C114" s="4" t="s">
        <v>7</v>
      </c>
      <c r="D114" s="17" t="e">
        <f>#REF!</f>
        <v>#REF!</v>
      </c>
      <c r="E114" s="17">
        <f>熊谷市!E21</f>
        <v>0</v>
      </c>
      <c r="F114" s="17">
        <f>秩父市!E21</f>
        <v>0</v>
      </c>
      <c r="K114" s="238"/>
    </row>
    <row r="115" spans="1:11" ht="20.149999999999999" customHeight="1">
      <c r="A115" s="237"/>
      <c r="B115" s="2" t="s">
        <v>245</v>
      </c>
      <c r="C115" s="4" t="s">
        <v>246</v>
      </c>
      <c r="D115" s="17" t="e">
        <f>(D114/(C48*0.495/1000)*100)</f>
        <v>#REF!</v>
      </c>
      <c r="E115" s="17">
        <f>(E114/(C48*0.495/1000))*100</f>
        <v>0</v>
      </c>
      <c r="F115" s="17">
        <f>(F114/(C48*0.495/1000))*100</f>
        <v>0</v>
      </c>
      <c r="K115" s="238"/>
    </row>
    <row r="116" spans="1:11">
      <c r="A116" s="237"/>
      <c r="C116" s="22"/>
      <c r="D116" s="251"/>
      <c r="E116" s="251"/>
      <c r="F116" s="251"/>
      <c r="K116" s="238"/>
    </row>
    <row r="117" spans="1:11">
      <c r="A117" s="237"/>
      <c r="C117" s="22"/>
      <c r="D117" s="251"/>
      <c r="E117" s="251"/>
      <c r="F117" s="251"/>
      <c r="K117" s="238"/>
    </row>
    <row r="118" spans="1:11">
      <c r="A118" s="237"/>
      <c r="C118" s="22"/>
      <c r="D118" s="251"/>
      <c r="E118" s="251"/>
      <c r="F118" s="251"/>
      <c r="K118" s="238"/>
    </row>
    <row r="119" spans="1:11" ht="13.5" thickBot="1">
      <c r="A119" s="239"/>
      <c r="B119" s="162"/>
      <c r="C119" s="162"/>
      <c r="D119" s="162"/>
      <c r="E119" s="162"/>
      <c r="F119" s="162"/>
      <c r="G119" s="162"/>
      <c r="H119" s="162"/>
      <c r="I119" s="162"/>
      <c r="J119" s="162"/>
      <c r="K119" s="240"/>
    </row>
  </sheetData>
  <mergeCells count="25">
    <mergeCell ref="G64:I64"/>
    <mergeCell ref="A1:J1"/>
    <mergeCell ref="B8:D8"/>
    <mergeCell ref="B11:B18"/>
    <mergeCell ref="B19:B26"/>
    <mergeCell ref="F27:I27"/>
    <mergeCell ref="F44:I44"/>
    <mergeCell ref="B47:E47"/>
    <mergeCell ref="C48:D48"/>
    <mergeCell ref="B54:E54"/>
    <mergeCell ref="B58:E58"/>
    <mergeCell ref="B64:E64"/>
    <mergeCell ref="B111:F111"/>
    <mergeCell ref="D65:E65"/>
    <mergeCell ref="B66:B73"/>
    <mergeCell ref="G66:G73"/>
    <mergeCell ref="B77:E77"/>
    <mergeCell ref="G77:I77"/>
    <mergeCell ref="B79:B86"/>
    <mergeCell ref="G79:G86"/>
    <mergeCell ref="B88:G88"/>
    <mergeCell ref="B97:E97"/>
    <mergeCell ref="G97:J97"/>
    <mergeCell ref="B99:B106"/>
    <mergeCell ref="G99:G106"/>
  </mergeCells>
  <phoneticPr fontId="2"/>
  <pageMargins left="0.31496062992125984" right="0.19685039370078741" top="0.15748031496062992" bottom="0.15748031496062992" header="0" footer="0"/>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R65"/>
  <sheetViews>
    <sheetView zoomScale="85" zoomScaleNormal="85" workbookViewId="0">
      <selection activeCell="C67" sqref="C67"/>
    </sheetView>
  </sheetViews>
  <sheetFormatPr defaultRowHeight="13"/>
  <cols>
    <col min="2" max="2" width="10.36328125" bestFit="1" customWidth="1"/>
    <col min="3" max="3" width="9.90625" bestFit="1" customWidth="1"/>
    <col min="4" max="4" width="11" bestFit="1" customWidth="1"/>
    <col min="18" max="19" width="0" hidden="1" customWidth="1"/>
  </cols>
  <sheetData>
    <row r="2" spans="2:18" ht="13.5" thickBot="1">
      <c r="B2" s="284" t="s">
        <v>534</v>
      </c>
      <c r="C2" s="284" t="s">
        <v>537</v>
      </c>
      <c r="D2" t="s">
        <v>536</v>
      </c>
    </row>
    <row r="3" spans="2:18" ht="13.5" thickTop="1">
      <c r="B3" s="283" t="s">
        <v>471</v>
      </c>
      <c r="C3" s="283" t="s">
        <v>4</v>
      </c>
      <c r="D3" t="s">
        <v>4</v>
      </c>
      <c r="R3" t="s">
        <v>408</v>
      </c>
    </row>
    <row r="4" spans="2:18">
      <c r="B4" s="106" t="s">
        <v>472</v>
      </c>
      <c r="C4" s="106" t="s">
        <v>4</v>
      </c>
      <c r="D4" t="s">
        <v>5</v>
      </c>
      <c r="R4" t="s">
        <v>409</v>
      </c>
    </row>
    <row r="5" spans="2:18">
      <c r="B5" s="106" t="s">
        <v>473</v>
      </c>
      <c r="C5" s="106" t="s">
        <v>4</v>
      </c>
      <c r="D5" t="s">
        <v>535</v>
      </c>
      <c r="R5" t="s">
        <v>410</v>
      </c>
    </row>
    <row r="6" spans="2:18">
      <c r="B6" s="106" t="s">
        <v>474</v>
      </c>
      <c r="C6" s="106" t="s">
        <v>5</v>
      </c>
      <c r="R6" t="s">
        <v>411</v>
      </c>
    </row>
    <row r="7" spans="2:18">
      <c r="B7" s="106" t="s">
        <v>475</v>
      </c>
      <c r="C7" s="106" t="s">
        <v>535</v>
      </c>
      <c r="R7" t="s">
        <v>412</v>
      </c>
    </row>
    <row r="8" spans="2:18">
      <c r="B8" s="106" t="s">
        <v>476</v>
      </c>
      <c r="C8" s="106" t="s">
        <v>5</v>
      </c>
      <c r="R8" t="s">
        <v>413</v>
      </c>
    </row>
    <row r="9" spans="2:18">
      <c r="B9" s="106" t="s">
        <v>477</v>
      </c>
      <c r="C9" s="106" t="s">
        <v>4</v>
      </c>
      <c r="R9" t="s">
        <v>414</v>
      </c>
    </row>
    <row r="10" spans="2:18">
      <c r="B10" s="106" t="s">
        <v>478</v>
      </c>
      <c r="C10" s="106" t="s">
        <v>5</v>
      </c>
      <c r="R10" t="s">
        <v>415</v>
      </c>
    </row>
    <row r="11" spans="2:18">
      <c r="B11" s="106" t="s">
        <v>479</v>
      </c>
      <c r="C11" s="106" t="s">
        <v>4</v>
      </c>
      <c r="R11" t="s">
        <v>416</v>
      </c>
    </row>
    <row r="12" spans="2:18">
      <c r="B12" s="106" t="s">
        <v>480</v>
      </c>
      <c r="C12" s="106" t="s">
        <v>5</v>
      </c>
      <c r="R12" t="s">
        <v>417</v>
      </c>
    </row>
    <row r="13" spans="2:18">
      <c r="B13" s="106" t="s">
        <v>481</v>
      </c>
      <c r="C13" s="106" t="s">
        <v>5</v>
      </c>
      <c r="R13" t="s">
        <v>418</v>
      </c>
    </row>
    <row r="14" spans="2:18">
      <c r="B14" s="106" t="s">
        <v>482</v>
      </c>
      <c r="C14" s="106" t="s">
        <v>5</v>
      </c>
      <c r="R14" t="s">
        <v>419</v>
      </c>
    </row>
    <row r="15" spans="2:18">
      <c r="B15" s="106" t="s">
        <v>483</v>
      </c>
      <c r="C15" s="106" t="s">
        <v>4</v>
      </c>
      <c r="R15" t="s">
        <v>420</v>
      </c>
    </row>
    <row r="16" spans="2:18">
      <c r="B16" s="106" t="s">
        <v>484</v>
      </c>
      <c r="C16" s="106" t="s">
        <v>4</v>
      </c>
      <c r="R16" t="s">
        <v>421</v>
      </c>
    </row>
    <row r="17" spans="2:18">
      <c r="B17" s="106" t="s">
        <v>486</v>
      </c>
      <c r="C17" s="106" t="s">
        <v>4</v>
      </c>
      <c r="R17" t="s">
        <v>422</v>
      </c>
    </row>
    <row r="18" spans="2:18">
      <c r="B18" s="106" t="s">
        <v>485</v>
      </c>
      <c r="C18" s="106" t="s">
        <v>4</v>
      </c>
      <c r="R18" t="s">
        <v>423</v>
      </c>
    </row>
    <row r="19" spans="2:18">
      <c r="B19" s="106" t="s">
        <v>487</v>
      </c>
      <c r="C19" s="106" t="s">
        <v>5</v>
      </c>
      <c r="R19" t="s">
        <v>424</v>
      </c>
    </row>
    <row r="20" spans="2:18">
      <c r="B20" s="106" t="s">
        <v>488</v>
      </c>
      <c r="C20" s="106" t="s">
        <v>5</v>
      </c>
      <c r="R20" t="s">
        <v>425</v>
      </c>
    </row>
    <row r="21" spans="2:18">
      <c r="B21" s="106" t="s">
        <v>489</v>
      </c>
      <c r="C21" s="106" t="s">
        <v>5</v>
      </c>
      <c r="R21" t="s">
        <v>426</v>
      </c>
    </row>
    <row r="22" spans="2:18">
      <c r="B22" s="106" t="s">
        <v>490</v>
      </c>
      <c r="C22" s="106" t="s">
        <v>5</v>
      </c>
      <c r="R22" t="s">
        <v>427</v>
      </c>
    </row>
    <row r="23" spans="2:18">
      <c r="B23" s="106" t="s">
        <v>491</v>
      </c>
      <c r="C23" s="106" t="s">
        <v>4</v>
      </c>
      <c r="R23" t="s">
        <v>428</v>
      </c>
    </row>
    <row r="24" spans="2:18">
      <c r="B24" s="106" t="s">
        <v>492</v>
      </c>
      <c r="C24" s="106" t="s">
        <v>4</v>
      </c>
      <c r="R24" t="s">
        <v>429</v>
      </c>
    </row>
    <row r="25" spans="2:18">
      <c r="B25" s="106" t="s">
        <v>493</v>
      </c>
      <c r="C25" s="106" t="s">
        <v>5</v>
      </c>
      <c r="R25" t="s">
        <v>430</v>
      </c>
    </row>
    <row r="26" spans="2:18">
      <c r="B26" s="106" t="s">
        <v>494</v>
      </c>
      <c r="C26" s="106" t="s">
        <v>4</v>
      </c>
      <c r="R26" t="s">
        <v>431</v>
      </c>
    </row>
    <row r="27" spans="2:18">
      <c r="B27" s="106" t="s">
        <v>495</v>
      </c>
      <c r="C27" s="106" t="s">
        <v>4</v>
      </c>
      <c r="R27" t="s">
        <v>432</v>
      </c>
    </row>
    <row r="28" spans="2:18">
      <c r="B28" s="106" t="s">
        <v>496</v>
      </c>
      <c r="C28" s="106" t="s">
        <v>4</v>
      </c>
      <c r="R28" t="s">
        <v>433</v>
      </c>
    </row>
    <row r="29" spans="2:18">
      <c r="B29" s="106" t="s">
        <v>497</v>
      </c>
      <c r="C29" s="106" t="s">
        <v>4</v>
      </c>
      <c r="R29" t="s">
        <v>434</v>
      </c>
    </row>
    <row r="30" spans="2:18">
      <c r="B30" s="106" t="s">
        <v>498</v>
      </c>
      <c r="C30" s="106" t="s">
        <v>4</v>
      </c>
      <c r="R30" t="s">
        <v>435</v>
      </c>
    </row>
    <row r="31" spans="2:18">
      <c r="B31" s="106" t="s">
        <v>499</v>
      </c>
      <c r="C31" s="106" t="s">
        <v>4</v>
      </c>
      <c r="R31" t="s">
        <v>436</v>
      </c>
    </row>
    <row r="32" spans="2:18">
      <c r="B32" s="106" t="s">
        <v>500</v>
      </c>
      <c r="C32" s="106" t="s">
        <v>535</v>
      </c>
      <c r="R32" t="s">
        <v>437</v>
      </c>
    </row>
    <row r="33" spans="2:18">
      <c r="B33" s="106" t="s">
        <v>501</v>
      </c>
      <c r="C33" s="106" t="s">
        <v>5</v>
      </c>
      <c r="R33" t="s">
        <v>438</v>
      </c>
    </row>
    <row r="34" spans="2:18">
      <c r="B34" s="106" t="s">
        <v>502</v>
      </c>
      <c r="C34" s="106" t="s">
        <v>5</v>
      </c>
      <c r="R34" t="s">
        <v>439</v>
      </c>
    </row>
    <row r="35" spans="2:18">
      <c r="B35" s="106" t="s">
        <v>503</v>
      </c>
      <c r="C35" s="106" t="s">
        <v>4</v>
      </c>
      <c r="R35" t="s">
        <v>440</v>
      </c>
    </row>
    <row r="36" spans="2:18">
      <c r="B36" s="106" t="s">
        <v>504</v>
      </c>
      <c r="C36" s="106" t="s">
        <v>4</v>
      </c>
      <c r="R36" t="s">
        <v>441</v>
      </c>
    </row>
    <row r="37" spans="2:18">
      <c r="B37" s="106" t="s">
        <v>505</v>
      </c>
      <c r="C37" s="106" t="s">
        <v>535</v>
      </c>
      <c r="R37" t="s">
        <v>442</v>
      </c>
    </row>
    <row r="38" spans="2:18">
      <c r="B38" s="106" t="s">
        <v>506</v>
      </c>
      <c r="C38" s="106" t="s">
        <v>5</v>
      </c>
      <c r="R38" t="s">
        <v>443</v>
      </c>
    </row>
    <row r="39" spans="2:18">
      <c r="B39" s="106" t="s">
        <v>507</v>
      </c>
      <c r="C39" s="106" t="s">
        <v>4</v>
      </c>
      <c r="R39" t="s">
        <v>444</v>
      </c>
    </row>
    <row r="40" spans="2:18">
      <c r="B40" s="106" t="s">
        <v>508</v>
      </c>
      <c r="C40" s="106" t="s">
        <v>4</v>
      </c>
      <c r="R40" t="s">
        <v>445</v>
      </c>
    </row>
    <row r="41" spans="2:18">
      <c r="B41" s="106" t="s">
        <v>509</v>
      </c>
      <c r="C41" s="106" t="s">
        <v>5</v>
      </c>
      <c r="R41" t="s">
        <v>446</v>
      </c>
    </row>
    <row r="42" spans="2:18">
      <c r="B42" s="106" t="s">
        <v>510</v>
      </c>
      <c r="C42" s="106" t="s">
        <v>5</v>
      </c>
      <c r="R42" t="s">
        <v>447</v>
      </c>
    </row>
    <row r="43" spans="2:18">
      <c r="B43" s="106" t="s">
        <v>511</v>
      </c>
      <c r="C43" s="106" t="s">
        <v>5</v>
      </c>
      <c r="R43" t="s">
        <v>448</v>
      </c>
    </row>
    <row r="44" spans="2:18">
      <c r="B44" s="106" t="s">
        <v>512</v>
      </c>
      <c r="C44" s="106" t="s">
        <v>5</v>
      </c>
      <c r="R44" t="s">
        <v>449</v>
      </c>
    </row>
    <row r="45" spans="2:18">
      <c r="B45" s="106" t="s">
        <v>513</v>
      </c>
      <c r="C45" s="106" t="s">
        <v>5</v>
      </c>
      <c r="R45" t="s">
        <v>450</v>
      </c>
    </row>
    <row r="46" spans="2:18">
      <c r="B46" s="106" t="s">
        <v>514</v>
      </c>
      <c r="C46" s="106" t="s">
        <v>5</v>
      </c>
      <c r="R46" t="s">
        <v>451</v>
      </c>
    </row>
    <row r="47" spans="2:18">
      <c r="B47" s="106" t="s">
        <v>515</v>
      </c>
      <c r="C47" s="106" t="s">
        <v>5</v>
      </c>
      <c r="R47" t="s">
        <v>452</v>
      </c>
    </row>
    <row r="48" spans="2:18">
      <c r="B48" s="106" t="s">
        <v>516</v>
      </c>
      <c r="C48" s="106" t="s">
        <v>4</v>
      </c>
      <c r="R48" t="s">
        <v>453</v>
      </c>
    </row>
    <row r="49" spans="2:18">
      <c r="B49" s="106" t="s">
        <v>517</v>
      </c>
      <c r="C49" s="106" t="s">
        <v>4</v>
      </c>
      <c r="R49" t="s">
        <v>454</v>
      </c>
    </row>
    <row r="50" spans="2:18">
      <c r="B50" s="106" t="s">
        <v>518</v>
      </c>
      <c r="C50" s="106" t="s">
        <v>5</v>
      </c>
      <c r="R50" t="s">
        <v>455</v>
      </c>
    </row>
    <row r="51" spans="2:18">
      <c r="B51" s="106" t="s">
        <v>519</v>
      </c>
      <c r="C51" s="106" t="s">
        <v>4</v>
      </c>
      <c r="R51" t="s">
        <v>456</v>
      </c>
    </row>
    <row r="52" spans="2:18">
      <c r="B52" s="106" t="s">
        <v>520</v>
      </c>
      <c r="C52" s="106" t="s">
        <v>4</v>
      </c>
      <c r="R52" t="s">
        <v>457</v>
      </c>
    </row>
    <row r="53" spans="2:18">
      <c r="B53" s="106" t="s">
        <v>521</v>
      </c>
      <c r="C53" s="106" t="s">
        <v>5</v>
      </c>
      <c r="R53" t="s">
        <v>458</v>
      </c>
    </row>
    <row r="54" spans="2:18">
      <c r="B54" s="106" t="s">
        <v>522</v>
      </c>
      <c r="C54" s="106" t="s">
        <v>535</v>
      </c>
      <c r="R54" t="s">
        <v>459</v>
      </c>
    </row>
    <row r="55" spans="2:18">
      <c r="B55" s="106" t="s">
        <v>523</v>
      </c>
      <c r="C55" s="106" t="s">
        <v>4</v>
      </c>
      <c r="R55" t="s">
        <v>460</v>
      </c>
    </row>
    <row r="56" spans="2:18">
      <c r="B56" s="106" t="s">
        <v>524</v>
      </c>
      <c r="C56" s="106" t="s">
        <v>4</v>
      </c>
      <c r="R56" t="s">
        <v>461</v>
      </c>
    </row>
    <row r="57" spans="2:18">
      <c r="B57" s="106" t="s">
        <v>525</v>
      </c>
      <c r="C57" s="106" t="s">
        <v>5</v>
      </c>
      <c r="R57" t="s">
        <v>462</v>
      </c>
    </row>
    <row r="58" spans="2:18">
      <c r="B58" s="106" t="s">
        <v>526</v>
      </c>
      <c r="C58" s="106" t="s">
        <v>4</v>
      </c>
      <c r="R58" t="s">
        <v>463</v>
      </c>
    </row>
    <row r="59" spans="2:18">
      <c r="B59" s="106" t="s">
        <v>527</v>
      </c>
      <c r="C59" s="106" t="s">
        <v>535</v>
      </c>
      <c r="R59" t="s">
        <v>464</v>
      </c>
    </row>
    <row r="60" spans="2:18">
      <c r="B60" s="106" t="s">
        <v>528</v>
      </c>
      <c r="C60" s="106" t="s">
        <v>4</v>
      </c>
      <c r="R60" t="s">
        <v>465</v>
      </c>
    </row>
    <row r="61" spans="2:18">
      <c r="B61" s="106" t="s">
        <v>529</v>
      </c>
      <c r="C61" s="106" t="s">
        <v>5</v>
      </c>
      <c r="R61" t="s">
        <v>466</v>
      </c>
    </row>
    <row r="62" spans="2:18">
      <c r="B62" s="106" t="s">
        <v>530</v>
      </c>
      <c r="C62" s="106" t="s">
        <v>5</v>
      </c>
      <c r="R62" t="s">
        <v>467</v>
      </c>
    </row>
    <row r="63" spans="2:18">
      <c r="B63" s="106" t="s">
        <v>531</v>
      </c>
      <c r="C63" s="106" t="s">
        <v>5</v>
      </c>
      <c r="R63" t="s">
        <v>468</v>
      </c>
    </row>
    <row r="64" spans="2:18">
      <c r="B64" s="106" t="s">
        <v>532</v>
      </c>
      <c r="C64" s="106" t="s">
        <v>4</v>
      </c>
      <c r="R64" t="s">
        <v>469</v>
      </c>
    </row>
    <row r="65" spans="2:18">
      <c r="B65" s="106" t="s">
        <v>533</v>
      </c>
      <c r="C65" s="106" t="s">
        <v>4</v>
      </c>
      <c r="R65" t="s">
        <v>470</v>
      </c>
    </row>
  </sheetData>
  <phoneticPr fontId="2"/>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I152"/>
  <sheetViews>
    <sheetView topLeftCell="A22" workbookViewId="0">
      <selection activeCell="C67" sqref="C67"/>
    </sheetView>
  </sheetViews>
  <sheetFormatPr defaultColWidth="9" defaultRowHeight="13"/>
  <cols>
    <col min="1" max="1" width="4.36328125" style="1" customWidth="1"/>
    <col min="2" max="8" width="9" style="1"/>
    <col min="9" max="9" width="11.26953125" style="1" customWidth="1"/>
    <col min="10" max="10" width="9" style="1"/>
    <col min="11" max="11" width="0.36328125" style="1" customWidth="1"/>
    <col min="12" max="16384" width="9" style="1"/>
  </cols>
  <sheetData>
    <row r="2" spans="1:9">
      <c r="A2" s="81" t="s">
        <v>247</v>
      </c>
    </row>
    <row r="4" spans="1:9">
      <c r="A4" s="81">
        <v>1</v>
      </c>
      <c r="B4" s="81" t="s">
        <v>248</v>
      </c>
    </row>
    <row r="5" spans="1:9">
      <c r="B5" s="81" t="s">
        <v>295</v>
      </c>
    </row>
    <row r="6" spans="1:9">
      <c r="C6" s="1951" t="s">
        <v>249</v>
      </c>
      <c r="D6" s="1951"/>
      <c r="E6" s="1951"/>
      <c r="F6" s="1951"/>
      <c r="G6" s="1951"/>
      <c r="H6" s="1951"/>
      <c r="I6" s="1951"/>
    </row>
    <row r="7" spans="1:9">
      <c r="C7" s="1951"/>
      <c r="D7" s="1951"/>
      <c r="E7" s="1951"/>
      <c r="F7" s="1951"/>
      <c r="G7" s="1951"/>
      <c r="H7" s="1951"/>
      <c r="I7" s="1951"/>
    </row>
    <row r="8" spans="1:9">
      <c r="C8" s="1951"/>
      <c r="D8" s="1951"/>
      <c r="E8" s="1951"/>
      <c r="F8" s="1951"/>
      <c r="G8" s="1951"/>
      <c r="H8" s="1951"/>
      <c r="I8" s="1951"/>
    </row>
    <row r="9" spans="1:9" ht="13.5" customHeight="1">
      <c r="C9" s="1951" t="s">
        <v>250</v>
      </c>
      <c r="D9" s="1951"/>
      <c r="E9" s="1951"/>
      <c r="F9" s="1951"/>
      <c r="G9" s="1951"/>
      <c r="H9" s="1951"/>
      <c r="I9" s="1951"/>
    </row>
    <row r="10" spans="1:9">
      <c r="C10" s="1951"/>
      <c r="D10" s="1951"/>
      <c r="E10" s="1951"/>
      <c r="F10" s="1951"/>
      <c r="G10" s="1951"/>
      <c r="H10" s="1951"/>
      <c r="I10" s="1951"/>
    </row>
    <row r="11" spans="1:9">
      <c r="C11" s="1951"/>
      <c r="D11" s="1951"/>
      <c r="E11" s="1951"/>
      <c r="F11" s="1951"/>
      <c r="G11" s="1951"/>
      <c r="H11" s="1951"/>
      <c r="I11" s="1951"/>
    </row>
    <row r="12" spans="1:9">
      <c r="C12" s="1951"/>
      <c r="D12" s="1951"/>
      <c r="E12" s="1951"/>
      <c r="F12" s="1951"/>
      <c r="G12" s="1951"/>
      <c r="H12" s="1951"/>
      <c r="I12" s="1951"/>
    </row>
    <row r="13" spans="1:9">
      <c r="C13" s="1951"/>
      <c r="D13" s="1951"/>
      <c r="E13" s="1951"/>
      <c r="F13" s="1951"/>
      <c r="G13" s="1951"/>
      <c r="H13" s="1951"/>
      <c r="I13" s="1951"/>
    </row>
    <row r="14" spans="1:9">
      <c r="C14" s="1951"/>
      <c r="D14" s="1951"/>
      <c r="E14" s="1951"/>
      <c r="F14" s="1951"/>
      <c r="G14" s="1951"/>
      <c r="H14" s="1951"/>
      <c r="I14" s="1951"/>
    </row>
    <row r="15" spans="1:9">
      <c r="C15" s="241"/>
      <c r="D15" s="241"/>
      <c r="E15" s="241"/>
      <c r="F15" s="241"/>
      <c r="G15" s="241"/>
      <c r="H15" s="241"/>
      <c r="I15" s="241"/>
    </row>
    <row r="16" spans="1:9">
      <c r="C16" s="1" t="s">
        <v>308</v>
      </c>
    </row>
    <row r="17" spans="1:9">
      <c r="C17" s="241"/>
      <c r="D17" s="241"/>
      <c r="E17" s="241"/>
      <c r="F17" s="241"/>
      <c r="G17" s="241"/>
      <c r="H17" s="241"/>
      <c r="I17" s="241"/>
    </row>
    <row r="18" spans="1:9">
      <c r="B18" s="81" t="s">
        <v>296</v>
      </c>
    </row>
    <row r="19" spans="1:9">
      <c r="C19" s="1951" t="s">
        <v>251</v>
      </c>
      <c r="D19" s="1951"/>
      <c r="E19" s="1951"/>
      <c r="F19" s="1951"/>
      <c r="G19" s="1951"/>
      <c r="H19" s="1951"/>
      <c r="I19" s="1951"/>
    </row>
    <row r="20" spans="1:9">
      <c r="C20" s="1951"/>
      <c r="D20" s="1951"/>
      <c r="E20" s="1951"/>
      <c r="F20" s="1951"/>
      <c r="G20" s="1951"/>
      <c r="H20" s="1951"/>
      <c r="I20" s="1951"/>
    </row>
    <row r="21" spans="1:9">
      <c r="C21" s="1951"/>
      <c r="D21" s="1951"/>
      <c r="E21" s="1951"/>
      <c r="F21" s="1951"/>
      <c r="G21" s="1951"/>
      <c r="H21" s="1951"/>
      <c r="I21" s="1951"/>
    </row>
    <row r="22" spans="1:9">
      <c r="C22" s="1951"/>
      <c r="D22" s="1951"/>
      <c r="E22" s="1951"/>
      <c r="F22" s="1951"/>
      <c r="G22" s="1951"/>
      <c r="H22" s="1951"/>
      <c r="I22" s="1951"/>
    </row>
    <row r="23" spans="1:9">
      <c r="C23" s="1951" t="s">
        <v>252</v>
      </c>
      <c r="D23" s="1951"/>
      <c r="E23" s="1951"/>
      <c r="F23" s="1951"/>
      <c r="G23" s="1951"/>
      <c r="H23" s="1951"/>
      <c r="I23" s="1951"/>
    </row>
    <row r="26" spans="1:9">
      <c r="A26" s="81">
        <v>2</v>
      </c>
      <c r="B26" s="81" t="s">
        <v>253</v>
      </c>
    </row>
    <row r="28" spans="1:9">
      <c r="C28" s="1" t="s">
        <v>272</v>
      </c>
    </row>
    <row r="30" spans="1:9">
      <c r="C30" s="1130" t="s">
        <v>344</v>
      </c>
      <c r="D30" s="1130"/>
      <c r="E30" s="1130"/>
      <c r="F30" s="4" t="s">
        <v>265</v>
      </c>
      <c r="G30" s="4" t="s">
        <v>266</v>
      </c>
      <c r="H30" s="1130" t="s">
        <v>345</v>
      </c>
      <c r="I30" s="1130"/>
    </row>
    <row r="31" spans="1:9">
      <c r="C31" s="15" t="s">
        <v>254</v>
      </c>
      <c r="D31" s="15"/>
      <c r="E31" s="15"/>
      <c r="F31" s="14" t="s">
        <v>267</v>
      </c>
      <c r="G31" s="14" t="s">
        <v>268</v>
      </c>
      <c r="H31" s="1956" t="s">
        <v>271</v>
      </c>
      <c r="I31" s="1957"/>
    </row>
    <row r="32" spans="1:9">
      <c r="C32" s="15" t="s">
        <v>255</v>
      </c>
      <c r="D32" s="15"/>
      <c r="E32" s="15"/>
      <c r="F32" s="14" t="s">
        <v>267</v>
      </c>
      <c r="G32" s="14" t="s">
        <v>10</v>
      </c>
      <c r="H32" s="1958"/>
      <c r="I32" s="1959"/>
    </row>
    <row r="33" spans="2:9">
      <c r="C33" s="15" t="s">
        <v>256</v>
      </c>
      <c r="D33" s="15"/>
      <c r="E33" s="15"/>
      <c r="F33" s="14" t="s">
        <v>267</v>
      </c>
      <c r="G33" s="14" t="s">
        <v>268</v>
      </c>
      <c r="H33" s="1960"/>
      <c r="I33" s="1961"/>
    </row>
    <row r="34" spans="2:9">
      <c r="C34" s="2" t="s">
        <v>257</v>
      </c>
      <c r="D34" s="2"/>
      <c r="E34" s="2"/>
      <c r="F34" s="4" t="s">
        <v>267</v>
      </c>
      <c r="G34" s="4" t="s">
        <v>268</v>
      </c>
      <c r="H34" s="1962" t="s">
        <v>270</v>
      </c>
      <c r="I34" s="1963"/>
    </row>
    <row r="35" spans="2:9">
      <c r="C35" s="1953" t="s">
        <v>258</v>
      </c>
      <c r="D35" s="1954"/>
      <c r="E35" s="1955"/>
      <c r="F35" s="4" t="s">
        <v>10</v>
      </c>
      <c r="G35" s="4" t="s">
        <v>268</v>
      </c>
      <c r="H35" s="1964"/>
      <c r="I35" s="1965"/>
    </row>
    <row r="36" spans="2:9">
      <c r="C36" s="1953" t="s">
        <v>259</v>
      </c>
      <c r="D36" s="1954"/>
      <c r="E36" s="1955"/>
      <c r="F36" s="4" t="s">
        <v>267</v>
      </c>
      <c r="G36" s="4" t="s">
        <v>268</v>
      </c>
      <c r="H36" s="1964"/>
      <c r="I36" s="1965"/>
    </row>
    <row r="37" spans="2:9">
      <c r="C37" s="2" t="s">
        <v>260</v>
      </c>
      <c r="D37" s="2"/>
      <c r="E37" s="2"/>
      <c r="F37" s="4" t="s">
        <v>267</v>
      </c>
      <c r="G37" s="4" t="s">
        <v>269</v>
      </c>
      <c r="H37" s="1964"/>
      <c r="I37" s="1965"/>
    </row>
    <row r="38" spans="2:9">
      <c r="C38" s="2" t="s">
        <v>261</v>
      </c>
      <c r="D38" s="2"/>
      <c r="E38" s="2"/>
      <c r="F38" s="4" t="s">
        <v>267</v>
      </c>
      <c r="G38" s="4" t="s">
        <v>269</v>
      </c>
      <c r="H38" s="1964"/>
      <c r="I38" s="1965"/>
    </row>
    <row r="39" spans="2:9">
      <c r="C39" s="2" t="s">
        <v>262</v>
      </c>
      <c r="D39" s="2"/>
      <c r="E39" s="2"/>
      <c r="F39" s="4" t="s">
        <v>267</v>
      </c>
      <c r="G39" s="4" t="s">
        <v>269</v>
      </c>
      <c r="H39" s="1964"/>
      <c r="I39" s="1965"/>
    </row>
    <row r="40" spans="2:9">
      <c r="C40" s="1953" t="s">
        <v>263</v>
      </c>
      <c r="D40" s="1954"/>
      <c r="E40" s="1955"/>
      <c r="F40" s="4" t="s">
        <v>267</v>
      </c>
      <c r="G40" s="4" t="s">
        <v>268</v>
      </c>
      <c r="H40" s="1964"/>
      <c r="I40" s="1965"/>
    </row>
    <row r="41" spans="2:9">
      <c r="C41" s="2" t="s">
        <v>264</v>
      </c>
      <c r="D41" s="2"/>
      <c r="E41" s="2"/>
      <c r="F41" s="4" t="s">
        <v>10</v>
      </c>
      <c r="G41" s="4" t="s">
        <v>268</v>
      </c>
      <c r="H41" s="1966"/>
      <c r="I41" s="1967"/>
    </row>
    <row r="42" spans="2:9">
      <c r="G42" s="22"/>
    </row>
    <row r="43" spans="2:9">
      <c r="B43" s="81" t="s">
        <v>297</v>
      </c>
      <c r="C43" s="81"/>
    </row>
    <row r="45" spans="2:9">
      <c r="C45" s="1" t="s">
        <v>265</v>
      </c>
      <c r="E45" s="1952" t="s">
        <v>318</v>
      </c>
      <c r="F45" s="1952"/>
      <c r="G45" s="1952"/>
    </row>
    <row r="47" spans="2:9">
      <c r="C47" s="1" t="s">
        <v>266</v>
      </c>
      <c r="D47" s="1" t="s">
        <v>273</v>
      </c>
      <c r="E47" s="1952" t="s">
        <v>319</v>
      </c>
      <c r="F47" s="1952"/>
      <c r="G47" s="1952"/>
      <c r="H47" s="1952"/>
      <c r="I47" s="1952"/>
    </row>
    <row r="48" spans="2:9">
      <c r="D48" s="1" t="s">
        <v>274</v>
      </c>
      <c r="E48" s="1952" t="s">
        <v>320</v>
      </c>
      <c r="F48" s="1952"/>
      <c r="G48" s="1952"/>
      <c r="H48" s="1952"/>
      <c r="I48" s="1952"/>
    </row>
    <row r="50" spans="3:8">
      <c r="E50" s="1" t="s">
        <v>276</v>
      </c>
      <c r="F50" s="1" t="s">
        <v>277</v>
      </c>
    </row>
    <row r="51" spans="3:8">
      <c r="E51" s="81" t="s">
        <v>278</v>
      </c>
      <c r="F51" s="81" t="s">
        <v>279</v>
      </c>
      <c r="G51" s="81"/>
      <c r="H51" s="81"/>
    </row>
    <row r="52" spans="3:8">
      <c r="E52" s="1" t="s">
        <v>280</v>
      </c>
      <c r="F52" s="1" t="s">
        <v>281</v>
      </c>
    </row>
    <row r="53" spans="3:8">
      <c r="E53" s="1" t="s">
        <v>282</v>
      </c>
      <c r="F53" s="1" t="s">
        <v>283</v>
      </c>
    </row>
    <row r="54" spans="3:8">
      <c r="E54" s="1" t="s">
        <v>284</v>
      </c>
      <c r="F54" s="1" t="s">
        <v>285</v>
      </c>
    </row>
    <row r="55" spans="3:8">
      <c r="E55" s="1" t="s">
        <v>286</v>
      </c>
      <c r="F55" s="1" t="s">
        <v>287</v>
      </c>
    </row>
    <row r="56" spans="3:8">
      <c r="E56" s="1" t="s">
        <v>288</v>
      </c>
      <c r="F56" s="1" t="s">
        <v>184</v>
      </c>
    </row>
    <row r="57" spans="3:8">
      <c r="E57" s="1" t="s">
        <v>289</v>
      </c>
      <c r="F57" s="1" t="s">
        <v>290</v>
      </c>
    </row>
    <row r="58" spans="3:8">
      <c r="C58" s="1" t="s">
        <v>346</v>
      </c>
    </row>
    <row r="60" spans="3:8">
      <c r="C60" s="1" t="s">
        <v>275</v>
      </c>
    </row>
    <row r="61" spans="3:8">
      <c r="C61" s="1" t="s">
        <v>291</v>
      </c>
    </row>
    <row r="63" spans="3:8">
      <c r="C63" s="1" t="s">
        <v>292</v>
      </c>
    </row>
    <row r="64" spans="3:8">
      <c r="C64" s="1" t="s">
        <v>293</v>
      </c>
    </row>
    <row r="65" spans="2:9">
      <c r="C65" s="1" t="s">
        <v>294</v>
      </c>
    </row>
    <row r="67" spans="2:9">
      <c r="B67" s="81" t="s">
        <v>298</v>
      </c>
    </row>
    <row r="69" spans="2:9">
      <c r="C69" s="1951" t="s">
        <v>300</v>
      </c>
      <c r="D69" s="1951"/>
      <c r="E69" s="1951"/>
      <c r="F69" s="1951"/>
      <c r="G69" s="1951"/>
      <c r="H69" s="1951"/>
      <c r="I69" s="1951"/>
    </row>
    <row r="70" spans="2:9">
      <c r="C70" s="1951"/>
      <c r="D70" s="1951"/>
      <c r="E70" s="1951"/>
      <c r="F70" s="1951"/>
      <c r="G70" s="1951"/>
      <c r="H70" s="1951"/>
      <c r="I70" s="1951"/>
    </row>
    <row r="71" spans="2:9">
      <c r="C71" s="1951"/>
      <c r="D71" s="1951"/>
      <c r="E71" s="1951"/>
      <c r="F71" s="1951"/>
      <c r="G71" s="1951"/>
      <c r="H71" s="1951"/>
      <c r="I71" s="1951"/>
    </row>
    <row r="72" spans="2:9">
      <c r="C72" s="1951"/>
      <c r="D72" s="1951"/>
      <c r="E72" s="1951"/>
      <c r="F72" s="1951"/>
      <c r="G72" s="1951"/>
      <c r="H72" s="1951"/>
      <c r="I72" s="1951"/>
    </row>
    <row r="74" spans="2:9">
      <c r="C74" s="1" t="s">
        <v>301</v>
      </c>
    </row>
    <row r="76" spans="2:9">
      <c r="E76" s="1952" t="s">
        <v>302</v>
      </c>
      <c r="F76" s="1952"/>
      <c r="G76" s="1952"/>
    </row>
    <row r="78" spans="2:9">
      <c r="C78" s="1" t="s">
        <v>303</v>
      </c>
    </row>
    <row r="80" spans="2:9">
      <c r="E80" s="1952" t="s">
        <v>304</v>
      </c>
      <c r="F80" s="1952"/>
      <c r="G80" s="1952"/>
      <c r="H80" s="1952"/>
      <c r="I80" s="1952"/>
    </row>
    <row r="82" spans="2:8">
      <c r="E82" s="1" t="s">
        <v>305</v>
      </c>
      <c r="F82" s="242" t="s">
        <v>255</v>
      </c>
    </row>
    <row r="83" spans="2:8">
      <c r="E83" s="1" t="s">
        <v>280</v>
      </c>
      <c r="F83" s="1" t="s">
        <v>281</v>
      </c>
    </row>
    <row r="84" spans="2:8">
      <c r="E84" s="81" t="s">
        <v>306</v>
      </c>
      <c r="F84" s="81" t="s">
        <v>307</v>
      </c>
    </row>
    <row r="85" spans="2:8">
      <c r="E85" s="1" t="s">
        <v>309</v>
      </c>
      <c r="F85" s="1" t="s">
        <v>312</v>
      </c>
    </row>
    <row r="86" spans="2:8">
      <c r="E86" s="1" t="s">
        <v>310</v>
      </c>
      <c r="F86" s="1" t="s">
        <v>313</v>
      </c>
    </row>
    <row r="87" spans="2:8">
      <c r="E87" s="1" t="s">
        <v>311</v>
      </c>
      <c r="F87" s="1" t="s">
        <v>314</v>
      </c>
    </row>
    <row r="89" spans="2:8">
      <c r="C89" s="1" t="s">
        <v>299</v>
      </c>
    </row>
    <row r="91" spans="2:8">
      <c r="C91" s="1" t="s">
        <v>315</v>
      </c>
    </row>
    <row r="92" spans="2:8">
      <c r="C92" s="1" t="s">
        <v>316</v>
      </c>
    </row>
    <row r="94" spans="2:8">
      <c r="B94" s="81" t="s">
        <v>317</v>
      </c>
    </row>
    <row r="96" spans="2:8">
      <c r="C96" s="1" t="s">
        <v>265</v>
      </c>
      <c r="E96" s="1952" t="s">
        <v>321</v>
      </c>
      <c r="F96" s="1952"/>
      <c r="G96" s="1952"/>
      <c r="H96" s="1952"/>
    </row>
    <row r="98" spans="3:9">
      <c r="C98" s="1" t="s">
        <v>266</v>
      </c>
      <c r="D98" s="1" t="s">
        <v>273</v>
      </c>
      <c r="E98" s="1952" t="s">
        <v>322</v>
      </c>
      <c r="F98" s="1952"/>
      <c r="G98" s="1952"/>
      <c r="H98" s="1952"/>
      <c r="I98" s="1952"/>
    </row>
    <row r="99" spans="3:9">
      <c r="D99" s="1" t="s">
        <v>274</v>
      </c>
      <c r="E99" s="1952" t="s">
        <v>323</v>
      </c>
      <c r="F99" s="1952"/>
      <c r="G99" s="1952"/>
      <c r="H99" s="1952"/>
      <c r="I99" s="1952"/>
    </row>
    <row r="101" spans="3:9">
      <c r="E101" s="1" t="s">
        <v>324</v>
      </c>
      <c r="F101" s="1" t="s">
        <v>326</v>
      </c>
    </row>
    <row r="102" spans="3:9">
      <c r="E102" s="81" t="s">
        <v>325</v>
      </c>
      <c r="F102" s="81" t="s">
        <v>327</v>
      </c>
      <c r="G102" s="81"/>
      <c r="H102" s="81"/>
    </row>
    <row r="103" spans="3:9">
      <c r="E103" s="1" t="s">
        <v>329</v>
      </c>
      <c r="F103" s="1" t="s">
        <v>328</v>
      </c>
    </row>
    <row r="104" spans="3:9">
      <c r="E104" s="81" t="s">
        <v>330</v>
      </c>
      <c r="F104" s="81" t="s">
        <v>331</v>
      </c>
      <c r="G104" s="81"/>
    </row>
    <row r="105" spans="3:9">
      <c r="E105" s="1" t="s">
        <v>284</v>
      </c>
      <c r="F105" s="1" t="s">
        <v>285</v>
      </c>
    </row>
    <row r="106" spans="3:9">
      <c r="E106" s="1" t="s">
        <v>286</v>
      </c>
      <c r="F106" s="1" t="s">
        <v>287</v>
      </c>
    </row>
    <row r="107" spans="3:9">
      <c r="E107" s="1" t="s">
        <v>288</v>
      </c>
      <c r="F107" s="1" t="s">
        <v>184</v>
      </c>
    </row>
    <row r="108" spans="3:9">
      <c r="C108" s="1" t="s">
        <v>299</v>
      </c>
    </row>
    <row r="110" spans="3:9">
      <c r="C110" s="1" t="s">
        <v>332</v>
      </c>
    </row>
    <row r="111" spans="3:9">
      <c r="C111" s="1" t="s">
        <v>333</v>
      </c>
    </row>
    <row r="113" spans="1:9">
      <c r="C113" s="1951" t="s">
        <v>334</v>
      </c>
      <c r="D113" s="1951"/>
      <c r="E113" s="1951"/>
      <c r="F113" s="1951"/>
      <c r="G113" s="1951"/>
      <c r="H113" s="1951"/>
      <c r="I113" s="1951"/>
    </row>
    <row r="114" spans="1:9">
      <c r="C114" s="1951"/>
      <c r="D114" s="1951"/>
      <c r="E114" s="1951"/>
      <c r="F114" s="1951"/>
      <c r="G114" s="1951"/>
      <c r="H114" s="1951"/>
      <c r="I114" s="1951"/>
    </row>
    <row r="115" spans="1:9">
      <c r="C115" s="1951"/>
      <c r="D115" s="1951"/>
      <c r="E115" s="1951"/>
      <c r="F115" s="1951"/>
      <c r="G115" s="1951"/>
      <c r="H115" s="1951"/>
      <c r="I115" s="1951"/>
    </row>
    <row r="116" spans="1:9">
      <c r="C116" s="1951"/>
      <c r="D116" s="1951"/>
      <c r="E116" s="1951"/>
      <c r="F116" s="1951"/>
      <c r="G116" s="1951"/>
      <c r="H116" s="1951"/>
      <c r="I116" s="1951"/>
    </row>
    <row r="117" spans="1:9">
      <c r="C117" s="1951"/>
      <c r="D117" s="1951"/>
      <c r="E117" s="1951"/>
      <c r="F117" s="1951"/>
      <c r="G117" s="1951"/>
      <c r="H117" s="1951"/>
      <c r="I117" s="1951"/>
    </row>
    <row r="119" spans="1:9">
      <c r="C119" s="1951" t="s">
        <v>335</v>
      </c>
      <c r="D119" s="1951"/>
      <c r="E119" s="1951"/>
      <c r="F119" s="1951"/>
      <c r="G119" s="1951"/>
      <c r="H119" s="1951"/>
      <c r="I119" s="1951"/>
    </row>
    <row r="120" spans="1:9">
      <c r="C120" s="1951"/>
      <c r="D120" s="1951"/>
      <c r="E120" s="1951"/>
      <c r="F120" s="1951"/>
      <c r="G120" s="1951"/>
      <c r="H120" s="1951"/>
      <c r="I120" s="1951"/>
    </row>
    <row r="121" spans="1:9">
      <c r="C121" s="1951"/>
      <c r="D121" s="1951"/>
      <c r="E121" s="1951"/>
      <c r="F121" s="1951"/>
      <c r="G121" s="1951"/>
      <c r="H121" s="1951"/>
      <c r="I121" s="1951"/>
    </row>
    <row r="122" spans="1:9">
      <c r="C122" s="1951"/>
      <c r="D122" s="1951"/>
      <c r="E122" s="1951"/>
      <c r="F122" s="1951"/>
      <c r="G122" s="1951"/>
      <c r="H122" s="1951"/>
      <c r="I122" s="1951"/>
    </row>
    <row r="123" spans="1:9">
      <c r="C123" s="1951"/>
      <c r="D123" s="1951"/>
      <c r="E123" s="1951"/>
      <c r="F123" s="1951"/>
      <c r="G123" s="1951"/>
      <c r="H123" s="1951"/>
      <c r="I123" s="1951"/>
    </row>
    <row r="124" spans="1:9">
      <c r="C124" s="1" t="s">
        <v>336</v>
      </c>
    </row>
    <row r="126" spans="1:9">
      <c r="A126" s="81">
        <v>3</v>
      </c>
      <c r="B126" s="81" t="s">
        <v>337</v>
      </c>
    </row>
    <row r="127" spans="1:9">
      <c r="C127" s="1951" t="s">
        <v>338</v>
      </c>
      <c r="D127" s="1951"/>
      <c r="E127" s="1951"/>
      <c r="F127" s="1951"/>
      <c r="G127" s="1951"/>
      <c r="H127" s="1951"/>
      <c r="I127" s="1951"/>
    </row>
    <row r="128" spans="1:9">
      <c r="C128" s="1951"/>
      <c r="D128" s="1951"/>
      <c r="E128" s="1951"/>
      <c r="F128" s="1951"/>
      <c r="G128" s="1951"/>
      <c r="H128" s="1951"/>
      <c r="I128" s="1951"/>
    </row>
    <row r="129" spans="3:9">
      <c r="C129" s="1951"/>
      <c r="D129" s="1951"/>
      <c r="E129" s="1951"/>
      <c r="F129" s="1951"/>
      <c r="G129" s="1951"/>
      <c r="H129" s="1951"/>
      <c r="I129" s="1951"/>
    </row>
    <row r="130" spans="3:9">
      <c r="C130" s="241"/>
      <c r="D130" s="241"/>
      <c r="E130" s="241"/>
      <c r="F130" s="241"/>
      <c r="G130" s="241"/>
      <c r="H130" s="241"/>
      <c r="I130" s="241"/>
    </row>
    <row r="131" spans="3:9">
      <c r="C131" s="1951" t="s">
        <v>339</v>
      </c>
      <c r="D131" s="1951"/>
      <c r="E131" s="1951"/>
      <c r="F131" s="1951"/>
      <c r="G131" s="1951"/>
      <c r="H131" s="1951"/>
      <c r="I131" s="1951"/>
    </row>
    <row r="132" spans="3:9">
      <c r="C132" s="1951"/>
      <c r="D132" s="1951"/>
      <c r="E132" s="1951"/>
      <c r="F132" s="1951"/>
      <c r="G132" s="1951"/>
      <c r="H132" s="1951"/>
      <c r="I132" s="1951"/>
    </row>
    <row r="133" spans="3:9">
      <c r="C133" s="1951"/>
      <c r="D133" s="1951"/>
      <c r="E133" s="1951"/>
      <c r="F133" s="1951"/>
      <c r="G133" s="1951"/>
      <c r="H133" s="1951"/>
      <c r="I133" s="1951"/>
    </row>
    <row r="135" spans="3:9">
      <c r="C135" s="1951" t="s">
        <v>340</v>
      </c>
      <c r="D135" s="1951"/>
      <c r="E135" s="1951"/>
      <c r="F135" s="1951"/>
      <c r="G135" s="1951"/>
      <c r="H135" s="1951"/>
      <c r="I135" s="1951"/>
    </row>
    <row r="136" spans="3:9">
      <c r="C136" s="1951"/>
      <c r="D136" s="1951"/>
      <c r="E136" s="1951"/>
      <c r="F136" s="1951"/>
      <c r="G136" s="1951"/>
      <c r="H136" s="1951"/>
      <c r="I136" s="1951"/>
    </row>
    <row r="138" spans="3:9">
      <c r="C138" s="1" t="s">
        <v>382</v>
      </c>
    </row>
    <row r="140" spans="3:9">
      <c r="C140" s="1" t="s">
        <v>383</v>
      </c>
    </row>
    <row r="142" spans="3:9">
      <c r="C142" s="1" t="s">
        <v>384</v>
      </c>
    </row>
    <row r="144" spans="3:9">
      <c r="C144" s="1" t="s">
        <v>385</v>
      </c>
    </row>
    <row r="146" spans="2:3">
      <c r="C146" s="1" t="s">
        <v>387</v>
      </c>
    </row>
    <row r="148" spans="2:3">
      <c r="C148" s="1" t="s">
        <v>388</v>
      </c>
    </row>
    <row r="151" spans="2:3">
      <c r="B151" s="1" t="s">
        <v>341</v>
      </c>
      <c r="C151" s="1" t="s">
        <v>342</v>
      </c>
    </row>
    <row r="152" spans="2:3">
      <c r="C152" s="1" t="s">
        <v>343</v>
      </c>
    </row>
  </sheetData>
  <mergeCells count="25">
    <mergeCell ref="C6:I8"/>
    <mergeCell ref="C9:I14"/>
    <mergeCell ref="C19:I22"/>
    <mergeCell ref="C23:I23"/>
    <mergeCell ref="C135:I136"/>
    <mergeCell ref="C30:E30"/>
    <mergeCell ref="C35:E35"/>
    <mergeCell ref="C36:E36"/>
    <mergeCell ref="C40:E40"/>
    <mergeCell ref="H30:I30"/>
    <mergeCell ref="H31:I33"/>
    <mergeCell ref="H34:I41"/>
    <mergeCell ref="C69:I72"/>
    <mergeCell ref="C113:I117"/>
    <mergeCell ref="C119:I123"/>
    <mergeCell ref="C127:I129"/>
    <mergeCell ref="C131:I133"/>
    <mergeCell ref="E45:G45"/>
    <mergeCell ref="E47:I47"/>
    <mergeCell ref="E48:I48"/>
    <mergeCell ref="E76:G76"/>
    <mergeCell ref="E80:I80"/>
    <mergeCell ref="E96:H96"/>
    <mergeCell ref="E98:I98"/>
    <mergeCell ref="E99:I99"/>
  </mergeCells>
  <phoneticPr fontId="2"/>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K58"/>
  <sheetViews>
    <sheetView topLeftCell="A34" workbookViewId="0">
      <selection activeCell="C67" sqref="C67"/>
    </sheetView>
  </sheetViews>
  <sheetFormatPr defaultColWidth="9" defaultRowHeight="13"/>
  <cols>
    <col min="1" max="10" width="9" style="1"/>
    <col min="11" max="11" width="2" style="1" customWidth="1"/>
    <col min="12" max="16384" width="9" style="1"/>
  </cols>
  <sheetData>
    <row r="1" spans="1:11">
      <c r="A1" s="81" t="s">
        <v>55</v>
      </c>
    </row>
    <row r="3" spans="1:11">
      <c r="A3" s="1" t="s">
        <v>83</v>
      </c>
      <c r="B3" s="82" t="s">
        <v>347</v>
      </c>
    </row>
    <row r="4" spans="1:11">
      <c r="B4" s="82" t="s">
        <v>84</v>
      </c>
    </row>
    <row r="6" spans="1:11">
      <c r="B6" s="1" t="s">
        <v>348</v>
      </c>
    </row>
    <row r="8" spans="1:11">
      <c r="B8" s="2" t="s">
        <v>85</v>
      </c>
      <c r="C8" s="244" t="s">
        <v>86</v>
      </c>
      <c r="D8" s="11"/>
    </row>
    <row r="9" spans="1:11">
      <c r="B9" s="2" t="s">
        <v>87</v>
      </c>
      <c r="C9" s="9">
        <v>26</v>
      </c>
      <c r="D9" s="11" t="s">
        <v>88</v>
      </c>
    </row>
    <row r="11" spans="1:11">
      <c r="B11" s="1" t="s">
        <v>89</v>
      </c>
    </row>
    <row r="13" spans="1:11" ht="16">
      <c r="B13" s="1953" t="s">
        <v>90</v>
      </c>
      <c r="C13" s="1954"/>
      <c r="D13" s="1954"/>
      <c r="E13" s="1954"/>
      <c r="F13" s="1954"/>
      <c r="G13" s="1954"/>
      <c r="H13" s="1954"/>
      <c r="I13" s="1954"/>
      <c r="J13" s="1954"/>
      <c r="K13" s="1955"/>
    </row>
    <row r="15" spans="1:11">
      <c r="B15" s="1" t="s">
        <v>91</v>
      </c>
      <c r="C15" s="1" t="s">
        <v>92</v>
      </c>
    </row>
    <row r="16" spans="1:11">
      <c r="B16" s="1" t="s">
        <v>93</v>
      </c>
      <c r="C16" s="1" t="s">
        <v>94</v>
      </c>
    </row>
    <row r="18" spans="1:11" ht="27" customHeight="1">
      <c r="B18" s="245" t="s">
        <v>351</v>
      </c>
      <c r="C18" s="1951" t="s">
        <v>352</v>
      </c>
      <c r="D18" s="1951"/>
      <c r="E18" s="1951"/>
      <c r="F18" s="1951"/>
      <c r="G18" s="1951"/>
      <c r="H18" s="1951"/>
      <c r="I18" s="1951"/>
      <c r="J18" s="1951"/>
    </row>
    <row r="19" spans="1:11" ht="15.5">
      <c r="B19" s="1" t="s">
        <v>349</v>
      </c>
      <c r="C19" s="1" t="s">
        <v>95</v>
      </c>
    </row>
    <row r="20" spans="1:11" ht="15.5">
      <c r="B20" s="1" t="s">
        <v>350</v>
      </c>
      <c r="C20" s="1" t="s">
        <v>96</v>
      </c>
    </row>
    <row r="21" spans="1:11">
      <c r="B21" s="1" t="s">
        <v>284</v>
      </c>
      <c r="C21" s="1" t="s">
        <v>98</v>
      </c>
    </row>
    <row r="23" spans="1:11">
      <c r="A23" s="81" t="s">
        <v>99</v>
      </c>
    </row>
    <row r="24" spans="1:11" ht="33" customHeight="1">
      <c r="A24" s="83" t="s">
        <v>100</v>
      </c>
      <c r="B24" s="1951" t="s">
        <v>101</v>
      </c>
      <c r="C24" s="1951"/>
      <c r="D24" s="1951"/>
      <c r="E24" s="1951"/>
      <c r="F24" s="1951"/>
      <c r="G24" s="1951"/>
      <c r="H24" s="1951"/>
      <c r="I24" s="1951"/>
      <c r="J24" s="1951"/>
      <c r="K24" s="1951"/>
    </row>
    <row r="26" spans="1:11">
      <c r="B26" s="1" t="s">
        <v>102</v>
      </c>
    </row>
    <row r="27" spans="1:11">
      <c r="B27" s="1953" t="s">
        <v>103</v>
      </c>
      <c r="C27" s="1954"/>
      <c r="D27" s="1954"/>
      <c r="E27" s="1954"/>
      <c r="F27" s="1955"/>
    </row>
    <row r="29" spans="1:11">
      <c r="B29" s="1" t="s">
        <v>104</v>
      </c>
      <c r="C29" s="1" t="s">
        <v>105</v>
      </c>
    </row>
    <row r="30" spans="1:11">
      <c r="B30" s="1" t="s">
        <v>106</v>
      </c>
      <c r="C30" s="1" t="s">
        <v>107</v>
      </c>
    </row>
    <row r="31" spans="1:11">
      <c r="B31" s="1" t="s">
        <v>108</v>
      </c>
      <c r="C31" s="1" t="s">
        <v>109</v>
      </c>
      <c r="E31" s="2">
        <f>温度条件他根拠!E7</f>
        <v>31.9</v>
      </c>
      <c r="F31" s="1" t="s">
        <v>110</v>
      </c>
    </row>
    <row r="32" spans="1:11">
      <c r="B32" s="1" t="s">
        <v>111</v>
      </c>
      <c r="C32" s="1" t="s">
        <v>112</v>
      </c>
      <c r="E32" s="1">
        <v>30.8</v>
      </c>
      <c r="F32" s="1" t="s">
        <v>113</v>
      </c>
    </row>
    <row r="33" spans="1:8">
      <c r="B33" s="1" t="s">
        <v>114</v>
      </c>
      <c r="C33" s="1" t="s">
        <v>115</v>
      </c>
      <c r="E33" s="2">
        <f>温度条件他根拠!D9</f>
        <v>28</v>
      </c>
      <c r="F33" s="1" t="s">
        <v>88</v>
      </c>
    </row>
    <row r="34" spans="1:8">
      <c r="B34" s="1" t="s">
        <v>97</v>
      </c>
      <c r="C34" s="1" t="s">
        <v>116</v>
      </c>
      <c r="E34" s="1">
        <v>26</v>
      </c>
      <c r="F34" s="1" t="s">
        <v>117</v>
      </c>
      <c r="G34" s="1">
        <v>24</v>
      </c>
      <c r="H34" s="1" t="s">
        <v>118</v>
      </c>
    </row>
    <row r="36" spans="1:8">
      <c r="B36" s="1" t="s">
        <v>119</v>
      </c>
    </row>
    <row r="38" spans="1:8">
      <c r="B38" s="8" t="s">
        <v>120</v>
      </c>
      <c r="C38" s="84" t="s">
        <v>121</v>
      </c>
      <c r="D38" s="84">
        <f>E31-E32</f>
        <v>1.0999999999999979</v>
      </c>
      <c r="E38" s="85">
        <f>(E33-E34)*-1</f>
        <v>-2</v>
      </c>
      <c r="F38" s="86" t="s">
        <v>122</v>
      </c>
      <c r="G38" s="987">
        <f>D38+E38</f>
        <v>-0.90000000000000213</v>
      </c>
    </row>
    <row r="40" spans="1:8">
      <c r="A40" s="83" t="s">
        <v>123</v>
      </c>
      <c r="B40" s="1" t="s">
        <v>124</v>
      </c>
    </row>
    <row r="42" spans="1:8">
      <c r="B42" s="1" t="s">
        <v>125</v>
      </c>
    </row>
    <row r="44" spans="1:8" ht="16">
      <c r="B44" s="8" t="s">
        <v>126</v>
      </c>
      <c r="C44" s="9"/>
      <c r="D44" s="9"/>
      <c r="E44" s="9"/>
      <c r="F44" s="9"/>
      <c r="G44" s="11"/>
    </row>
    <row r="46" spans="1:8">
      <c r="B46" s="1" t="s">
        <v>127</v>
      </c>
    </row>
    <row r="47" spans="1:8">
      <c r="B47" s="1" t="s">
        <v>128</v>
      </c>
    </row>
    <row r="48" spans="1:8">
      <c r="B48" s="1" t="s">
        <v>129</v>
      </c>
    </row>
    <row r="50" spans="1:10">
      <c r="B50" s="1" t="s">
        <v>353</v>
      </c>
      <c r="C50" s="1" t="s">
        <v>130</v>
      </c>
    </row>
    <row r="51" spans="1:10">
      <c r="B51" s="1" t="s">
        <v>354</v>
      </c>
      <c r="C51" s="1" t="s">
        <v>131</v>
      </c>
    </row>
    <row r="52" spans="1:10">
      <c r="B52" s="87" t="s">
        <v>355</v>
      </c>
      <c r="C52" s="1" t="s">
        <v>132</v>
      </c>
    </row>
    <row r="53" spans="1:10" ht="16">
      <c r="B53" s="1" t="s">
        <v>356</v>
      </c>
      <c r="C53" s="1" t="s">
        <v>133</v>
      </c>
    </row>
    <row r="54" spans="1:10" ht="16">
      <c r="B54" s="1" t="s">
        <v>357</v>
      </c>
      <c r="C54" s="1" t="s">
        <v>134</v>
      </c>
    </row>
    <row r="56" spans="1:10">
      <c r="A56" s="83" t="s">
        <v>135</v>
      </c>
      <c r="B56" s="1" t="s">
        <v>136</v>
      </c>
    </row>
    <row r="58" spans="1:10">
      <c r="A58" s="82" t="s">
        <v>137</v>
      </c>
      <c r="B58" s="1968" t="s">
        <v>190</v>
      </c>
      <c r="C58" s="1968"/>
      <c r="D58" s="1968"/>
      <c r="E58" s="1968"/>
      <c r="F58" s="1968"/>
      <c r="G58" s="1968"/>
      <c r="H58" s="1968"/>
      <c r="I58" s="1968"/>
      <c r="J58" s="1968"/>
    </row>
  </sheetData>
  <mergeCells count="5">
    <mergeCell ref="B13:K13"/>
    <mergeCell ref="B24:K24"/>
    <mergeCell ref="B27:F27"/>
    <mergeCell ref="B58:J58"/>
    <mergeCell ref="C18:J18"/>
  </mergeCells>
  <phoneticPr fontId="2"/>
  <pageMargins left="0.51181102362204722" right="0.11811023622047244" top="0.55118110236220474" bottom="0.55118110236220474" header="0.11811023622047244" footer="0.1181102362204724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AB84"/>
  <sheetViews>
    <sheetView zoomScale="75" zoomScaleNormal="75" workbookViewId="0">
      <selection activeCell="C67" sqref="C67"/>
    </sheetView>
  </sheetViews>
  <sheetFormatPr defaultColWidth="9" defaultRowHeight="13"/>
  <cols>
    <col min="1" max="1" width="2.7265625" style="22" customWidth="1"/>
    <col min="2" max="2" width="4.453125" style="22" customWidth="1"/>
    <col min="3" max="4" width="9" style="22"/>
    <col min="5" max="5" width="7.36328125" style="22" customWidth="1"/>
    <col min="6" max="6" width="9" style="22"/>
    <col min="7" max="7" width="13.26953125" style="22" bestFit="1" customWidth="1"/>
    <col min="8" max="8" width="9.26953125" style="22" bestFit="1" customWidth="1"/>
    <col min="9" max="9" width="13.26953125" style="22" bestFit="1" customWidth="1"/>
    <col min="10" max="10" width="9.26953125" style="22" bestFit="1" customWidth="1"/>
    <col min="11" max="11" width="13.26953125" style="22" bestFit="1" customWidth="1"/>
    <col min="12" max="12" width="9.26953125" style="22" bestFit="1" customWidth="1"/>
    <col min="13" max="13" width="7.08984375" style="22" bestFit="1" customWidth="1"/>
    <col min="14" max="14" width="7.08984375" style="22" customWidth="1"/>
    <col min="15" max="16384" width="9" style="22"/>
  </cols>
  <sheetData>
    <row r="1" spans="2:28">
      <c r="D1" s="23"/>
    </row>
    <row r="2" spans="2:28" ht="17" thickBot="1">
      <c r="B2" s="1969" t="s">
        <v>180</v>
      </c>
      <c r="C2" s="1969"/>
      <c r="D2" s="1969"/>
      <c r="E2" s="1969"/>
      <c r="F2" s="1969"/>
      <c r="G2" s="1969"/>
      <c r="H2" s="1969"/>
      <c r="I2" s="1969"/>
      <c r="J2" s="1969"/>
      <c r="K2" s="1969"/>
      <c r="L2" s="1969"/>
      <c r="M2" s="1969"/>
      <c r="N2" s="1969"/>
      <c r="O2" s="1969"/>
    </row>
    <row r="3" spans="2:28">
      <c r="B3" s="1970" t="s">
        <v>46</v>
      </c>
      <c r="C3" s="1971"/>
      <c r="D3" s="1971" t="s">
        <v>47</v>
      </c>
      <c r="E3" s="1971"/>
      <c r="F3" s="1973"/>
      <c r="G3" s="1974" t="s">
        <v>48</v>
      </c>
      <c r="H3" s="1975"/>
      <c r="I3" s="1975"/>
      <c r="J3" s="1975"/>
      <c r="K3" s="1975"/>
      <c r="L3" s="1976"/>
      <c r="M3" s="1970" t="s">
        <v>49</v>
      </c>
      <c r="N3" s="1977"/>
      <c r="O3" s="1978"/>
    </row>
    <row r="4" spans="2:28" ht="26">
      <c r="B4" s="1121"/>
      <c r="C4" s="1130"/>
      <c r="D4" s="1130" t="s">
        <v>50</v>
      </c>
      <c r="E4" s="1130" t="s">
        <v>51</v>
      </c>
      <c r="F4" s="1979" t="s">
        <v>52</v>
      </c>
      <c r="G4" s="24">
        <v>9</v>
      </c>
      <c r="H4" s="25" t="s">
        <v>53</v>
      </c>
      <c r="I4" s="26">
        <v>12</v>
      </c>
      <c r="J4" s="25" t="s">
        <v>53</v>
      </c>
      <c r="K4" s="26">
        <v>15</v>
      </c>
      <c r="L4" s="710" t="s">
        <v>608</v>
      </c>
      <c r="M4" s="1980" t="s">
        <v>607</v>
      </c>
      <c r="N4" s="1981" t="s">
        <v>184</v>
      </c>
      <c r="O4" s="1983" t="s">
        <v>49</v>
      </c>
      <c r="AA4" s="710" t="s">
        <v>608</v>
      </c>
      <c r="AB4" s="711" t="s">
        <v>607</v>
      </c>
    </row>
    <row r="5" spans="2:28">
      <c r="B5" s="1121"/>
      <c r="C5" s="1130"/>
      <c r="D5" s="1130"/>
      <c r="E5" s="1130"/>
      <c r="F5" s="1979"/>
      <c r="G5" s="28" t="s">
        <v>55</v>
      </c>
      <c r="H5" s="29" t="s">
        <v>48</v>
      </c>
      <c r="I5" s="29" t="s">
        <v>55</v>
      </c>
      <c r="J5" s="29" t="s">
        <v>48</v>
      </c>
      <c r="K5" s="29" t="s">
        <v>55</v>
      </c>
      <c r="L5" s="30" t="s">
        <v>48</v>
      </c>
      <c r="M5" s="1121"/>
      <c r="N5" s="1982"/>
      <c r="O5" s="1983"/>
    </row>
    <row r="6" spans="2:28" ht="13.5" thickBot="1">
      <c r="B6" s="1122"/>
      <c r="C6" s="1972"/>
      <c r="D6" s="1972"/>
      <c r="E6" s="31" t="s">
        <v>56</v>
      </c>
      <c r="F6" s="32" t="s">
        <v>878</v>
      </c>
      <c r="G6" s="33" t="s">
        <v>738</v>
      </c>
      <c r="H6" s="31" t="s">
        <v>12</v>
      </c>
      <c r="I6" s="31" t="s">
        <v>738</v>
      </c>
      <c r="J6" s="31" t="s">
        <v>12</v>
      </c>
      <c r="K6" s="31" t="s">
        <v>738</v>
      </c>
      <c r="L6" s="34" t="s">
        <v>12</v>
      </c>
      <c r="M6" s="53" t="s">
        <v>738</v>
      </c>
      <c r="N6" s="148" t="s">
        <v>10</v>
      </c>
      <c r="O6" s="125" t="s">
        <v>12</v>
      </c>
    </row>
    <row r="7" spans="2:28" ht="13.5" thickBot="1">
      <c r="B7" s="1984" t="s">
        <v>60</v>
      </c>
      <c r="C7" s="37" t="s">
        <v>61</v>
      </c>
      <c r="D7" s="38" t="s">
        <v>10</v>
      </c>
      <c r="E7" s="38">
        <f>入力!D48</f>
        <v>0</v>
      </c>
      <c r="F7" s="158">
        <f>熱貫流率計算!H9</f>
        <v>3.91</v>
      </c>
      <c r="G7" s="317">
        <f>'外壁実効温度差（ETD)一覧表'!L21</f>
        <v>7.1</v>
      </c>
      <c r="H7" s="107">
        <f>G7*F7*E7</f>
        <v>0</v>
      </c>
      <c r="I7" s="109">
        <f>'外壁実効温度差（ETD)一覧表'!O21</f>
        <v>16.100000000000001</v>
      </c>
      <c r="J7" s="107">
        <f>I7*F7*E7</f>
        <v>0</v>
      </c>
      <c r="K7" s="113">
        <f>'外壁実効温度差（ETD)一覧表'!R21</f>
        <v>23.1</v>
      </c>
      <c r="L7" s="108">
        <f>K7*F7*E7</f>
        <v>0</v>
      </c>
      <c r="M7" s="126">
        <f>20--1.5</f>
        <v>21.5</v>
      </c>
      <c r="N7" s="154">
        <v>1</v>
      </c>
      <c r="O7" s="60">
        <f>M7*F7*E7*N7</f>
        <v>0</v>
      </c>
    </row>
    <row r="8" spans="2:28">
      <c r="B8" s="1985"/>
      <c r="C8" s="1970" t="s">
        <v>62</v>
      </c>
      <c r="D8" s="42" t="s">
        <v>63</v>
      </c>
      <c r="E8" s="42">
        <f>入力!D49</f>
        <v>0</v>
      </c>
      <c r="F8" s="168">
        <f>温度条件他根拠!D71</f>
        <v>1.18</v>
      </c>
      <c r="G8" s="318">
        <f>'外壁実効温度差（ETD)一覧表'!L22</f>
        <v>3.1</v>
      </c>
      <c r="H8" s="45">
        <f t="shared" ref="H8:H23" si="0">G8*F8*E8</f>
        <v>0</v>
      </c>
      <c r="I8" s="110">
        <f>'外壁実効温度差（ETD)一覧表'!O22</f>
        <v>4.0999999999999996</v>
      </c>
      <c r="J8" s="45">
        <f>I8*F8*E8</f>
        <v>0</v>
      </c>
      <c r="K8" s="111">
        <f>'外壁実効温度差（ETD)一覧表'!R22</f>
        <v>6.1</v>
      </c>
      <c r="L8" s="46">
        <f t="shared" ref="L8:L23" si="1">K8*F8*E8</f>
        <v>0</v>
      </c>
      <c r="M8" s="44">
        <f t="shared" ref="M8:M23" si="2">20--1.5</f>
        <v>21.5</v>
      </c>
      <c r="N8" s="149">
        <v>1.1000000000000001</v>
      </c>
      <c r="O8" s="46">
        <f>M8*F8*E8*N8</f>
        <v>0</v>
      </c>
    </row>
    <row r="9" spans="2:28">
      <c r="B9" s="1985"/>
      <c r="C9" s="1121"/>
      <c r="D9" s="4" t="s">
        <v>64</v>
      </c>
      <c r="E9" s="4">
        <f>入力!D50</f>
        <v>0</v>
      </c>
      <c r="F9" s="169">
        <f>温度条件他根拠!$D$71</f>
        <v>1.18</v>
      </c>
      <c r="G9" s="319">
        <f>'外壁実効温度差（ETD)一覧表'!L23</f>
        <v>7.1</v>
      </c>
      <c r="H9" s="48">
        <f t="shared" si="0"/>
        <v>0</v>
      </c>
      <c r="I9" s="63">
        <f>'外壁実効温度差（ETD)一覧表'!O23</f>
        <v>9.1</v>
      </c>
      <c r="J9" s="48">
        <f>I9*F9*E9</f>
        <v>0</v>
      </c>
      <c r="K9" s="112">
        <f>'外壁実効温度差（ETD)一覧表'!R23</f>
        <v>9.1</v>
      </c>
      <c r="L9" s="41">
        <f t="shared" si="1"/>
        <v>0</v>
      </c>
      <c r="M9" s="35">
        <f t="shared" si="2"/>
        <v>21.5</v>
      </c>
      <c r="N9" s="84">
        <v>1.05</v>
      </c>
      <c r="O9" s="41">
        <f>M9*F9*E9*N9</f>
        <v>0</v>
      </c>
    </row>
    <row r="10" spans="2:28">
      <c r="B10" s="1985"/>
      <c r="C10" s="1121"/>
      <c r="D10" s="4" t="s">
        <v>65</v>
      </c>
      <c r="E10" s="4">
        <f>入力!D51</f>
        <v>0</v>
      </c>
      <c r="F10" s="169">
        <f>温度条件他根拠!$D$71</f>
        <v>1.18</v>
      </c>
      <c r="G10" s="319">
        <f>'外壁実効温度差（ETD)一覧表'!L24</f>
        <v>8.1</v>
      </c>
      <c r="H10" s="48">
        <f t="shared" si="0"/>
        <v>0</v>
      </c>
      <c r="I10" s="63">
        <f>'外壁実効温度差（ETD)一覧表'!O24</f>
        <v>12.1</v>
      </c>
      <c r="J10" s="48">
        <f t="shared" ref="J10:J23" si="3">I10*F10*E10</f>
        <v>0</v>
      </c>
      <c r="K10" s="112">
        <f>'外壁実効温度差（ETD)一覧表'!R24</f>
        <v>11.1</v>
      </c>
      <c r="L10" s="41">
        <f t="shared" si="1"/>
        <v>0</v>
      </c>
      <c r="M10" s="35">
        <f t="shared" si="2"/>
        <v>21.5</v>
      </c>
      <c r="N10" s="84">
        <v>1.05</v>
      </c>
      <c r="O10" s="41">
        <f t="shared" ref="O10:O14" si="4">M10*F10*E10*N10</f>
        <v>0</v>
      </c>
    </row>
    <row r="11" spans="2:28">
      <c r="B11" s="1985"/>
      <c r="C11" s="1121"/>
      <c r="D11" s="4" t="s">
        <v>66</v>
      </c>
      <c r="E11" s="4">
        <f>入力!D52</f>
        <v>0</v>
      </c>
      <c r="F11" s="169">
        <f>温度条件他根拠!$D$71</f>
        <v>1.18</v>
      </c>
      <c r="G11" s="319">
        <f>'外壁実効温度差（ETD)一覧表'!L25</f>
        <v>6.1</v>
      </c>
      <c r="H11" s="48">
        <f t="shared" si="0"/>
        <v>0</v>
      </c>
      <c r="I11" s="63">
        <f>'外壁実効温度差（ETD)一覧表'!O25</f>
        <v>11.1</v>
      </c>
      <c r="J11" s="48">
        <f t="shared" si="3"/>
        <v>0</v>
      </c>
      <c r="K11" s="112">
        <f>'外壁実効温度差（ETD)一覧表'!R25</f>
        <v>11.1</v>
      </c>
      <c r="L11" s="41">
        <f t="shared" si="1"/>
        <v>0</v>
      </c>
      <c r="M11" s="35">
        <f t="shared" si="2"/>
        <v>21.5</v>
      </c>
      <c r="N11" s="84">
        <v>1.05</v>
      </c>
      <c r="O11" s="41">
        <f t="shared" si="4"/>
        <v>0</v>
      </c>
    </row>
    <row r="12" spans="2:28">
      <c r="B12" s="1985"/>
      <c r="C12" s="1121"/>
      <c r="D12" s="4" t="s">
        <v>67</v>
      </c>
      <c r="E12" s="4">
        <f>入力!D53</f>
        <v>0</v>
      </c>
      <c r="F12" s="169">
        <f>温度条件他根拠!$D$71</f>
        <v>1.18</v>
      </c>
      <c r="G12" s="319">
        <f>'外壁実効温度差（ETD)一覧表'!L26</f>
        <v>2.1</v>
      </c>
      <c r="H12" s="48">
        <f t="shared" si="0"/>
        <v>0</v>
      </c>
      <c r="I12" s="63">
        <f>'外壁実効温度差（ETD)一覧表'!O26</f>
        <v>5.0999999999999996</v>
      </c>
      <c r="J12" s="48">
        <f t="shared" si="3"/>
        <v>0</v>
      </c>
      <c r="K12" s="112">
        <f>'外壁実効温度差（ETD)一覧表'!R26</f>
        <v>9.1</v>
      </c>
      <c r="L12" s="41">
        <f t="shared" si="1"/>
        <v>0</v>
      </c>
      <c r="M12" s="35">
        <f t="shared" si="2"/>
        <v>21.5</v>
      </c>
      <c r="N12" s="84">
        <v>1</v>
      </c>
      <c r="O12" s="41">
        <f t="shared" si="4"/>
        <v>0</v>
      </c>
    </row>
    <row r="13" spans="2:28">
      <c r="B13" s="1985"/>
      <c r="C13" s="1121"/>
      <c r="D13" s="4" t="s">
        <v>68</v>
      </c>
      <c r="E13" s="4">
        <f>入力!D54</f>
        <v>0</v>
      </c>
      <c r="F13" s="169">
        <f>温度条件他根拠!$D$71</f>
        <v>1.18</v>
      </c>
      <c r="G13" s="319">
        <f>'外壁実効温度差（ETD)一覧表'!L27</f>
        <v>2.1</v>
      </c>
      <c r="H13" s="48">
        <f t="shared" si="0"/>
        <v>0</v>
      </c>
      <c r="I13" s="63">
        <f>'外壁実効温度差（ETD)一覧表'!O27</f>
        <v>4.0999999999999996</v>
      </c>
      <c r="J13" s="48">
        <f t="shared" si="3"/>
        <v>0</v>
      </c>
      <c r="K13" s="112">
        <f>'外壁実効温度差（ETD)一覧表'!R27</f>
        <v>9.1</v>
      </c>
      <c r="L13" s="41">
        <f t="shared" si="1"/>
        <v>0</v>
      </c>
      <c r="M13" s="35">
        <f t="shared" si="2"/>
        <v>21.5</v>
      </c>
      <c r="N13" s="84">
        <v>1.05</v>
      </c>
      <c r="O13" s="41">
        <f t="shared" si="4"/>
        <v>0</v>
      </c>
    </row>
    <row r="14" spans="2:28">
      <c r="B14" s="1985"/>
      <c r="C14" s="1121"/>
      <c r="D14" s="4" t="s">
        <v>69</v>
      </c>
      <c r="E14" s="4">
        <f>入力!D55</f>
        <v>0</v>
      </c>
      <c r="F14" s="169">
        <f>温度条件他根拠!$D$71</f>
        <v>1.18</v>
      </c>
      <c r="G14" s="319">
        <f>'外壁実効温度差（ETD)一覧表'!L28</f>
        <v>2.1</v>
      </c>
      <c r="H14" s="48">
        <f t="shared" si="0"/>
        <v>0</v>
      </c>
      <c r="I14" s="63">
        <f>'外壁実効温度差（ETD)一覧表'!O28</f>
        <v>4.0999999999999996</v>
      </c>
      <c r="J14" s="48">
        <f t="shared" si="3"/>
        <v>0</v>
      </c>
      <c r="K14" s="112">
        <f>'外壁実効温度差（ETD)一覧表'!R28</f>
        <v>8.1</v>
      </c>
      <c r="L14" s="41">
        <f t="shared" si="1"/>
        <v>0</v>
      </c>
      <c r="M14" s="35">
        <f t="shared" si="2"/>
        <v>21.5</v>
      </c>
      <c r="N14" s="84">
        <v>1.1000000000000001</v>
      </c>
      <c r="O14" s="41">
        <f t="shared" si="4"/>
        <v>0</v>
      </c>
    </row>
    <row r="15" spans="2:28" ht="13.5" thickBot="1">
      <c r="B15" s="1985"/>
      <c r="C15" s="1122"/>
      <c r="D15" s="31" t="s">
        <v>70</v>
      </c>
      <c r="E15" s="31">
        <f>入力!D56</f>
        <v>0</v>
      </c>
      <c r="F15" s="170">
        <f>温度条件他根拠!$D$71</f>
        <v>1.18</v>
      </c>
      <c r="G15" s="320">
        <f>'外壁実効温度差（ETD)一覧表'!L29</f>
        <v>2.1</v>
      </c>
      <c r="H15" s="54">
        <f t="shared" si="0"/>
        <v>0</v>
      </c>
      <c r="I15" s="120">
        <f>'外壁実効温度差（ETD)一覧表'!O29</f>
        <v>4.0999999999999996</v>
      </c>
      <c r="J15" s="54">
        <f t="shared" si="3"/>
        <v>0</v>
      </c>
      <c r="K15" s="121">
        <f>'外壁実効温度差（ETD)一覧表'!R29</f>
        <v>6.1</v>
      </c>
      <c r="L15" s="55">
        <f t="shared" si="1"/>
        <v>0</v>
      </c>
      <c r="M15" s="33">
        <f t="shared" si="2"/>
        <v>21.5</v>
      </c>
      <c r="N15" s="150">
        <v>1.1000000000000001</v>
      </c>
      <c r="O15" s="50">
        <f>M15*F15*E15*N15</f>
        <v>0</v>
      </c>
    </row>
    <row r="16" spans="2:28">
      <c r="B16" s="1985"/>
      <c r="C16" s="1970" t="s">
        <v>71</v>
      </c>
      <c r="D16" s="42" t="s">
        <v>63</v>
      </c>
      <c r="E16" s="42">
        <f>入力!D57</f>
        <v>0</v>
      </c>
      <c r="F16" s="43">
        <f>温度条件他根拠!D72</f>
        <v>5.95</v>
      </c>
      <c r="G16" s="318">
        <f>温度条件他根拠!E7-温度条件他根拠!E9</f>
        <v>3.8999999999999986</v>
      </c>
      <c r="H16" s="45">
        <f t="shared" si="0"/>
        <v>0</v>
      </c>
      <c r="I16" s="110">
        <f>温度条件他根拠!E7-温度条件他根拠!E9</f>
        <v>3.8999999999999986</v>
      </c>
      <c r="J16" s="45">
        <f t="shared" si="3"/>
        <v>0</v>
      </c>
      <c r="K16" s="110">
        <f>温度条件他根拠!E7-温度条件他根拠!E9</f>
        <v>3.8999999999999986</v>
      </c>
      <c r="L16" s="46">
        <f t="shared" si="1"/>
        <v>0</v>
      </c>
      <c r="M16" s="44">
        <f t="shared" si="2"/>
        <v>21.5</v>
      </c>
      <c r="N16" s="149">
        <v>1.1000000000000001</v>
      </c>
      <c r="O16" s="46">
        <f>M16*F16*E16*N16</f>
        <v>0</v>
      </c>
    </row>
    <row r="17" spans="2:15">
      <c r="B17" s="1985"/>
      <c r="C17" s="1121"/>
      <c r="D17" s="4" t="s">
        <v>64</v>
      </c>
      <c r="E17" s="4">
        <f>入力!D58</f>
        <v>0</v>
      </c>
      <c r="F17" s="47">
        <f>温度条件他根拠!D72</f>
        <v>5.95</v>
      </c>
      <c r="G17" s="319">
        <f>G16</f>
        <v>3.8999999999999986</v>
      </c>
      <c r="H17" s="48">
        <f t="shared" si="0"/>
        <v>0</v>
      </c>
      <c r="I17" s="63">
        <f>I16</f>
        <v>3.8999999999999986</v>
      </c>
      <c r="J17" s="48">
        <f t="shared" si="3"/>
        <v>0</v>
      </c>
      <c r="K17" s="63">
        <f>K16</f>
        <v>3.8999999999999986</v>
      </c>
      <c r="L17" s="41">
        <f t="shared" si="1"/>
        <v>0</v>
      </c>
      <c r="M17" s="35">
        <f t="shared" si="2"/>
        <v>21.5</v>
      </c>
      <c r="N17" s="84">
        <v>1.05</v>
      </c>
      <c r="O17" s="41">
        <f>M17*F17*E17*N17</f>
        <v>0</v>
      </c>
    </row>
    <row r="18" spans="2:15">
      <c r="B18" s="1985"/>
      <c r="C18" s="1121"/>
      <c r="D18" s="4" t="s">
        <v>65</v>
      </c>
      <c r="E18" s="4">
        <f>入力!D59</f>
        <v>0</v>
      </c>
      <c r="F18" s="47">
        <f>温度条件他根拠!D72</f>
        <v>5.95</v>
      </c>
      <c r="G18" s="319">
        <f t="shared" ref="G18:G22" si="5">G17</f>
        <v>3.8999999999999986</v>
      </c>
      <c r="H18" s="48">
        <f t="shared" si="0"/>
        <v>0</v>
      </c>
      <c r="I18" s="63">
        <f t="shared" ref="I18:K22" si="6">I17</f>
        <v>3.8999999999999986</v>
      </c>
      <c r="J18" s="48">
        <f t="shared" si="3"/>
        <v>0</v>
      </c>
      <c r="K18" s="63">
        <f t="shared" si="6"/>
        <v>3.8999999999999986</v>
      </c>
      <c r="L18" s="41">
        <f t="shared" si="1"/>
        <v>0</v>
      </c>
      <c r="M18" s="35">
        <f t="shared" si="2"/>
        <v>21.5</v>
      </c>
      <c r="N18" s="84">
        <v>1.05</v>
      </c>
      <c r="O18" s="41">
        <f t="shared" ref="O18:O22" si="7">M18*F18*E18*N18</f>
        <v>0</v>
      </c>
    </row>
    <row r="19" spans="2:15">
      <c r="B19" s="1985"/>
      <c r="C19" s="1121"/>
      <c r="D19" s="4" t="s">
        <v>66</v>
      </c>
      <c r="E19" s="4">
        <f>入力!D60</f>
        <v>0</v>
      </c>
      <c r="F19" s="47">
        <f>温度条件他根拠!D72</f>
        <v>5.95</v>
      </c>
      <c r="G19" s="319">
        <f t="shared" si="5"/>
        <v>3.8999999999999986</v>
      </c>
      <c r="H19" s="48">
        <f t="shared" si="0"/>
        <v>0</v>
      </c>
      <c r="I19" s="63">
        <f t="shared" si="6"/>
        <v>3.8999999999999986</v>
      </c>
      <c r="J19" s="48">
        <f t="shared" si="3"/>
        <v>0</v>
      </c>
      <c r="K19" s="63">
        <f t="shared" si="6"/>
        <v>3.8999999999999986</v>
      </c>
      <c r="L19" s="41">
        <f t="shared" si="1"/>
        <v>0</v>
      </c>
      <c r="M19" s="35">
        <f t="shared" si="2"/>
        <v>21.5</v>
      </c>
      <c r="N19" s="84">
        <v>1.05</v>
      </c>
      <c r="O19" s="41">
        <f t="shared" si="7"/>
        <v>0</v>
      </c>
    </row>
    <row r="20" spans="2:15">
      <c r="B20" s="1985"/>
      <c r="C20" s="1121"/>
      <c r="D20" s="4" t="s">
        <v>67</v>
      </c>
      <c r="E20" s="4">
        <f>入力!D61</f>
        <v>0</v>
      </c>
      <c r="F20" s="47">
        <f>温度条件他根拠!D72</f>
        <v>5.95</v>
      </c>
      <c r="G20" s="319">
        <f t="shared" si="5"/>
        <v>3.8999999999999986</v>
      </c>
      <c r="H20" s="48">
        <f t="shared" si="0"/>
        <v>0</v>
      </c>
      <c r="I20" s="63">
        <f t="shared" si="6"/>
        <v>3.8999999999999986</v>
      </c>
      <c r="J20" s="48">
        <f t="shared" si="3"/>
        <v>0</v>
      </c>
      <c r="K20" s="63">
        <f t="shared" si="6"/>
        <v>3.8999999999999986</v>
      </c>
      <c r="L20" s="41">
        <f t="shared" si="1"/>
        <v>0</v>
      </c>
      <c r="M20" s="35">
        <f t="shared" si="2"/>
        <v>21.5</v>
      </c>
      <c r="N20" s="84">
        <v>1</v>
      </c>
      <c r="O20" s="41">
        <f t="shared" si="7"/>
        <v>0</v>
      </c>
    </row>
    <row r="21" spans="2:15">
      <c r="B21" s="1985"/>
      <c r="C21" s="1121"/>
      <c r="D21" s="4" t="s">
        <v>68</v>
      </c>
      <c r="E21" s="4">
        <f>入力!D62</f>
        <v>0</v>
      </c>
      <c r="F21" s="47">
        <f>温度条件他根拠!D72</f>
        <v>5.95</v>
      </c>
      <c r="G21" s="319">
        <f t="shared" si="5"/>
        <v>3.8999999999999986</v>
      </c>
      <c r="H21" s="48">
        <f t="shared" si="0"/>
        <v>0</v>
      </c>
      <c r="I21" s="63">
        <f t="shared" si="6"/>
        <v>3.8999999999999986</v>
      </c>
      <c r="J21" s="48">
        <f t="shared" si="3"/>
        <v>0</v>
      </c>
      <c r="K21" s="63">
        <f t="shared" si="6"/>
        <v>3.8999999999999986</v>
      </c>
      <c r="L21" s="41">
        <f t="shared" si="1"/>
        <v>0</v>
      </c>
      <c r="M21" s="35">
        <f t="shared" si="2"/>
        <v>21.5</v>
      </c>
      <c r="N21" s="84">
        <v>1.05</v>
      </c>
      <c r="O21" s="41">
        <f t="shared" si="7"/>
        <v>0</v>
      </c>
    </row>
    <row r="22" spans="2:15">
      <c r="B22" s="1985"/>
      <c r="C22" s="1121"/>
      <c r="D22" s="4" t="s">
        <v>69</v>
      </c>
      <c r="E22" s="4">
        <f>入力!D63</f>
        <v>0</v>
      </c>
      <c r="F22" s="47">
        <f>温度条件他根拠!D72</f>
        <v>5.95</v>
      </c>
      <c r="G22" s="319">
        <f t="shared" si="5"/>
        <v>3.8999999999999986</v>
      </c>
      <c r="H22" s="48">
        <f t="shared" si="0"/>
        <v>0</v>
      </c>
      <c r="I22" s="63">
        <f t="shared" si="6"/>
        <v>3.8999999999999986</v>
      </c>
      <c r="J22" s="48">
        <f t="shared" si="3"/>
        <v>0</v>
      </c>
      <c r="K22" s="63">
        <f t="shared" si="6"/>
        <v>3.8999999999999986</v>
      </c>
      <c r="L22" s="41">
        <f t="shared" si="1"/>
        <v>0</v>
      </c>
      <c r="M22" s="35">
        <f t="shared" si="2"/>
        <v>21.5</v>
      </c>
      <c r="N22" s="84">
        <v>1.1000000000000001</v>
      </c>
      <c r="O22" s="41">
        <f t="shared" si="7"/>
        <v>0</v>
      </c>
    </row>
    <row r="23" spans="2:15" ht="13.5" thickBot="1">
      <c r="B23" s="1986"/>
      <c r="C23" s="1987"/>
      <c r="D23" s="51" t="s">
        <v>70</v>
      </c>
      <c r="E23" s="31">
        <f>入力!D64</f>
        <v>0</v>
      </c>
      <c r="F23" s="52">
        <f>温度条件他根拠!D72</f>
        <v>5.95</v>
      </c>
      <c r="G23" s="321">
        <f>G22</f>
        <v>3.8999999999999986</v>
      </c>
      <c r="H23" s="49">
        <f t="shared" si="0"/>
        <v>0</v>
      </c>
      <c r="I23" s="80">
        <f>I22</f>
        <v>3.8999999999999986</v>
      </c>
      <c r="J23" s="49">
        <f t="shared" si="3"/>
        <v>0</v>
      </c>
      <c r="K23" s="80">
        <f>K22</f>
        <v>3.8999999999999986</v>
      </c>
      <c r="L23" s="50">
        <f t="shared" si="1"/>
        <v>0</v>
      </c>
      <c r="M23" s="33">
        <f t="shared" si="2"/>
        <v>21.5</v>
      </c>
      <c r="N23" s="150">
        <v>1.1000000000000001</v>
      </c>
      <c r="O23" s="50">
        <f>M23*F23*E23*N23</f>
        <v>0</v>
      </c>
    </row>
    <row r="24" spans="2:15" ht="18" customHeight="1" thickBot="1">
      <c r="B24" s="1988" t="s">
        <v>72</v>
      </c>
      <c r="C24" s="1989"/>
      <c r="D24" s="1989"/>
      <c r="E24" s="56"/>
      <c r="F24" s="57"/>
      <c r="G24" s="122"/>
      <c r="H24" s="39">
        <f>SUM(H7:H23)</f>
        <v>0</v>
      </c>
      <c r="I24" s="123"/>
      <c r="J24" s="39">
        <f>SUM(J7:J23)</f>
        <v>0</v>
      </c>
      <c r="K24" s="124"/>
      <c r="L24" s="40">
        <f>SUM(L7:L23)</f>
        <v>0</v>
      </c>
      <c r="M24" s="58"/>
      <c r="N24" s="74"/>
      <c r="O24" s="60">
        <f>SUM(O7:O23)</f>
        <v>0</v>
      </c>
    </row>
    <row r="25" spans="2:15">
      <c r="B25" s="1970" t="s">
        <v>46</v>
      </c>
      <c r="C25" s="1971"/>
      <c r="D25" s="1971" t="s">
        <v>47</v>
      </c>
      <c r="E25" s="1971"/>
      <c r="F25" s="1978"/>
      <c r="G25" s="1990" t="s">
        <v>48</v>
      </c>
      <c r="H25" s="1971"/>
      <c r="I25" s="1971"/>
      <c r="J25" s="1971"/>
      <c r="K25" s="1971"/>
      <c r="L25" s="1978"/>
      <c r="M25" s="61"/>
      <c r="N25" s="151"/>
      <c r="O25" s="62"/>
    </row>
    <row r="26" spans="2:15">
      <c r="B26" s="1121"/>
      <c r="C26" s="1130"/>
      <c r="D26" s="1130" t="s">
        <v>50</v>
      </c>
      <c r="E26" s="1130" t="s">
        <v>51</v>
      </c>
      <c r="F26" s="1983" t="s">
        <v>73</v>
      </c>
      <c r="G26" s="24">
        <v>9</v>
      </c>
      <c r="H26" s="25" t="s">
        <v>53</v>
      </c>
      <c r="I26" s="26">
        <v>12</v>
      </c>
      <c r="J26" s="25" t="s">
        <v>53</v>
      </c>
      <c r="K26" s="26">
        <v>15</v>
      </c>
      <c r="L26" s="27" t="s">
        <v>53</v>
      </c>
      <c r="M26" s="64"/>
      <c r="N26" s="152"/>
      <c r="O26" s="65"/>
    </row>
    <row r="27" spans="2:15">
      <c r="B27" s="1121"/>
      <c r="C27" s="1130"/>
      <c r="D27" s="1130"/>
      <c r="E27" s="1130"/>
      <c r="F27" s="1983"/>
      <c r="G27" s="66" t="s">
        <v>74</v>
      </c>
      <c r="H27" s="4" t="s">
        <v>48</v>
      </c>
      <c r="I27" s="4" t="s">
        <v>74</v>
      </c>
      <c r="J27" s="4" t="s">
        <v>48</v>
      </c>
      <c r="K27" s="4" t="s">
        <v>74</v>
      </c>
      <c r="L27" s="36" t="s">
        <v>48</v>
      </c>
      <c r="M27" s="64"/>
      <c r="N27" s="152"/>
      <c r="O27" s="65"/>
    </row>
    <row r="28" spans="2:15" ht="13.5" thickBot="1">
      <c r="B28" s="1122"/>
      <c r="C28" s="1972"/>
      <c r="D28" s="1972"/>
      <c r="E28" s="31" t="s">
        <v>56</v>
      </c>
      <c r="F28" s="34" t="s">
        <v>10</v>
      </c>
      <c r="G28" s="67" t="s">
        <v>75</v>
      </c>
      <c r="H28" s="31" t="s">
        <v>12</v>
      </c>
      <c r="I28" s="31" t="s">
        <v>75</v>
      </c>
      <c r="J28" s="31" t="s">
        <v>12</v>
      </c>
      <c r="K28" s="31" t="s">
        <v>75</v>
      </c>
      <c r="L28" s="34" t="s">
        <v>12</v>
      </c>
      <c r="M28" s="64"/>
      <c r="N28" s="152"/>
      <c r="O28" s="65"/>
    </row>
    <row r="29" spans="2:15">
      <c r="B29" s="1991" t="s">
        <v>76</v>
      </c>
      <c r="C29" s="1982" t="s">
        <v>71</v>
      </c>
      <c r="D29" s="29" t="s">
        <v>63</v>
      </c>
      <c r="E29" s="29">
        <f>E16</f>
        <v>0</v>
      </c>
      <c r="F29" s="30">
        <f>温度条件他根拠!D73</f>
        <v>0.876</v>
      </c>
      <c r="G29" s="303">
        <f>標準日射取得量1!G6</f>
        <v>39.06</v>
      </c>
      <c r="H29" s="78">
        <f>G29*F29*E29</f>
        <v>0</v>
      </c>
      <c r="I29" s="306">
        <f>標準日射取得量1!J6</f>
        <v>39.99</v>
      </c>
      <c r="J29" s="78">
        <f>I29*F29*E29</f>
        <v>0</v>
      </c>
      <c r="K29" s="306">
        <f>標準日射取得量1!M6</f>
        <v>37.200000000000003</v>
      </c>
      <c r="L29" s="79">
        <f>K29*F29*E29</f>
        <v>0</v>
      </c>
      <c r="M29" s="64"/>
      <c r="N29" s="152"/>
      <c r="O29" s="65"/>
    </row>
    <row r="30" spans="2:15">
      <c r="B30" s="1991"/>
      <c r="C30" s="1130"/>
      <c r="D30" s="4" t="s">
        <v>64</v>
      </c>
      <c r="E30" s="4">
        <f>E17</f>
        <v>0</v>
      </c>
      <c r="F30" s="36">
        <f>温度条件他根拠!D73</f>
        <v>0.876</v>
      </c>
      <c r="G30" s="303">
        <f>標準日射取得量1!G7</f>
        <v>227.85000000000002</v>
      </c>
      <c r="H30" s="48">
        <f t="shared" ref="H30:H36" si="8">G30*F30*E30</f>
        <v>0</v>
      </c>
      <c r="I30" s="306">
        <f>標準日射取得量1!J7</f>
        <v>39.99</v>
      </c>
      <c r="J30" s="48">
        <f t="shared" ref="J30:J36" si="9">I30*F30*E30</f>
        <v>0</v>
      </c>
      <c r="K30" s="306">
        <f>標準日射取得量1!M7</f>
        <v>37.200000000000003</v>
      </c>
      <c r="L30" s="41">
        <f t="shared" ref="L30:L36" si="10">K30*F30*E30</f>
        <v>0</v>
      </c>
      <c r="M30" s="64"/>
      <c r="N30" s="152"/>
      <c r="O30" s="65"/>
    </row>
    <row r="31" spans="2:15">
      <c r="B31" s="1991"/>
      <c r="C31" s="1130"/>
      <c r="D31" s="4" t="s">
        <v>65</v>
      </c>
      <c r="E31" s="4">
        <f t="shared" ref="E31:E36" si="11">E18</f>
        <v>0</v>
      </c>
      <c r="F31" s="36">
        <f>温度条件他根拠!D73</f>
        <v>0.876</v>
      </c>
      <c r="G31" s="303">
        <f>標準日射取得量1!G8</f>
        <v>456.63000000000005</v>
      </c>
      <c r="H31" s="48">
        <f t="shared" si="8"/>
        <v>0</v>
      </c>
      <c r="I31" s="306">
        <f>標準日射取得量1!J8</f>
        <v>39.99</v>
      </c>
      <c r="J31" s="48">
        <f t="shared" si="9"/>
        <v>0</v>
      </c>
      <c r="K31" s="306">
        <f>標準日射取得量1!M8</f>
        <v>37.200000000000003</v>
      </c>
      <c r="L31" s="41">
        <f t="shared" si="10"/>
        <v>0</v>
      </c>
      <c r="M31" s="64"/>
      <c r="N31" s="152"/>
      <c r="O31" s="65"/>
    </row>
    <row r="32" spans="2:15">
      <c r="B32" s="1991"/>
      <c r="C32" s="1130"/>
      <c r="D32" s="4" t="s">
        <v>66</v>
      </c>
      <c r="E32" s="4">
        <f t="shared" si="11"/>
        <v>0</v>
      </c>
      <c r="F32" s="36">
        <f>温度条件他根拠!D73</f>
        <v>0.876</v>
      </c>
      <c r="G32" s="303">
        <f>標準日射取得量1!G9</f>
        <v>380.37</v>
      </c>
      <c r="H32" s="48">
        <f>G32*F32*E32</f>
        <v>0</v>
      </c>
      <c r="I32" s="306">
        <f>標準日射取得量1!J9</f>
        <v>86.490000000000009</v>
      </c>
      <c r="J32" s="48">
        <f t="shared" si="9"/>
        <v>0</v>
      </c>
      <c r="K32" s="306">
        <f>標準日射取得量1!M9</f>
        <v>37.200000000000003</v>
      </c>
      <c r="L32" s="41">
        <f t="shared" si="10"/>
        <v>0</v>
      </c>
      <c r="M32" s="64"/>
      <c r="N32" s="152"/>
      <c r="O32" s="65"/>
    </row>
    <row r="33" spans="2:15">
      <c r="B33" s="1991"/>
      <c r="C33" s="1130"/>
      <c r="D33" s="4" t="s">
        <v>67</v>
      </c>
      <c r="E33" s="4">
        <f t="shared" si="11"/>
        <v>0</v>
      </c>
      <c r="F33" s="36">
        <f>温度条件他根拠!D73</f>
        <v>0.876</v>
      </c>
      <c r="G33" s="303">
        <f>標準日射取得量1!G10</f>
        <v>71.61</v>
      </c>
      <c r="H33" s="48">
        <f t="shared" si="8"/>
        <v>0</v>
      </c>
      <c r="I33" s="306">
        <f>標準日射取得量1!J10</f>
        <v>167.4</v>
      </c>
      <c r="J33" s="48">
        <f t="shared" si="9"/>
        <v>0</v>
      </c>
      <c r="K33" s="306">
        <f>標準日射取得量1!M10</f>
        <v>52.080000000000005</v>
      </c>
      <c r="L33" s="41">
        <f t="shared" si="10"/>
        <v>0</v>
      </c>
      <c r="M33" s="64"/>
      <c r="N33" s="152"/>
      <c r="O33" s="65"/>
    </row>
    <row r="34" spans="2:15">
      <c r="B34" s="1991"/>
      <c r="C34" s="1130"/>
      <c r="D34" s="4" t="s">
        <v>68</v>
      </c>
      <c r="E34" s="4">
        <f t="shared" si="11"/>
        <v>0</v>
      </c>
      <c r="F34" s="36">
        <f>温度条件他根拠!D73</f>
        <v>0.876</v>
      </c>
      <c r="G34" s="303">
        <f>標準日射取得量1!G11</f>
        <v>39.06</v>
      </c>
      <c r="H34" s="48">
        <f t="shared" si="8"/>
        <v>0</v>
      </c>
      <c r="I34" s="306">
        <f>標準日射取得量1!J11</f>
        <v>136.71</v>
      </c>
      <c r="J34" s="48">
        <f t="shared" si="9"/>
        <v>0</v>
      </c>
      <c r="K34" s="306">
        <f>標準日射取得量1!M11</f>
        <v>390.6</v>
      </c>
      <c r="L34" s="41">
        <f t="shared" si="10"/>
        <v>0</v>
      </c>
      <c r="M34" s="64"/>
      <c r="N34" s="152"/>
      <c r="O34" s="65"/>
    </row>
    <row r="35" spans="2:15">
      <c r="B35" s="1991"/>
      <c r="C35" s="1130"/>
      <c r="D35" s="4" t="s">
        <v>69</v>
      </c>
      <c r="E35" s="4">
        <f t="shared" si="11"/>
        <v>0</v>
      </c>
      <c r="F35" s="36">
        <f>温度条件他根拠!D73</f>
        <v>0.876</v>
      </c>
      <c r="G35" s="303">
        <f>標準日射取得量1!G12</f>
        <v>39.06</v>
      </c>
      <c r="H35" s="48">
        <f t="shared" si="8"/>
        <v>0</v>
      </c>
      <c r="I35" s="306">
        <f>標準日射取得量1!J12</f>
        <v>46.5</v>
      </c>
      <c r="J35" s="48">
        <f t="shared" si="9"/>
        <v>0</v>
      </c>
      <c r="K35" s="306">
        <f>標準日射取得量1!M12</f>
        <v>504.99</v>
      </c>
      <c r="L35" s="41">
        <f t="shared" si="10"/>
        <v>0</v>
      </c>
      <c r="M35" s="64"/>
      <c r="N35" s="152"/>
      <c r="O35" s="65"/>
    </row>
    <row r="36" spans="2:15" ht="13.5" thickBot="1">
      <c r="B36" s="1992"/>
      <c r="C36" s="1972"/>
      <c r="D36" s="31" t="s">
        <v>70</v>
      </c>
      <c r="E36" s="31">
        <f t="shared" si="11"/>
        <v>0</v>
      </c>
      <c r="F36" s="34">
        <f>温度条件他根拠!D73</f>
        <v>0.876</v>
      </c>
      <c r="G36" s="303">
        <f>標準日射取得量1!G13</f>
        <v>39.06</v>
      </c>
      <c r="H36" s="49">
        <f t="shared" si="8"/>
        <v>0</v>
      </c>
      <c r="I36" s="306">
        <f>標準日射取得量1!J13</f>
        <v>39.99</v>
      </c>
      <c r="J36" s="49">
        <f t="shared" si="9"/>
        <v>0</v>
      </c>
      <c r="K36" s="306">
        <f>標準日射取得量1!M13</f>
        <v>292.95</v>
      </c>
      <c r="L36" s="50">
        <f t="shared" si="10"/>
        <v>0</v>
      </c>
      <c r="M36" s="64"/>
      <c r="N36" s="152"/>
      <c r="O36" s="65"/>
    </row>
    <row r="37" spans="2:15" ht="18" customHeight="1" thickBot="1">
      <c r="B37" s="1974" t="s">
        <v>72</v>
      </c>
      <c r="C37" s="1975"/>
      <c r="D37" s="1975"/>
      <c r="E37" s="68"/>
      <c r="F37" s="69"/>
      <c r="G37" s="70"/>
      <c r="H37" s="71">
        <f>SUM(H29:H36)</f>
        <v>0</v>
      </c>
      <c r="I37" s="68"/>
      <c r="J37" s="71">
        <f>SUM(J29:J36)</f>
        <v>0</v>
      </c>
      <c r="K37" s="68"/>
      <c r="L37" s="71">
        <f>SUM(L29:L36)</f>
        <v>0</v>
      </c>
      <c r="M37" s="72"/>
      <c r="N37" s="153"/>
      <c r="O37" s="73"/>
    </row>
    <row r="38" spans="2:15" ht="18" customHeight="1" thickBot="1">
      <c r="B38" s="1131" t="s">
        <v>1</v>
      </c>
      <c r="C38" s="1132"/>
      <c r="D38" s="1132"/>
      <c r="E38" s="1993"/>
      <c r="F38" s="74"/>
      <c r="G38" s="74"/>
      <c r="H38" s="59">
        <f>H37+H24</f>
        <v>0</v>
      </c>
      <c r="I38" s="74"/>
      <c r="J38" s="59">
        <f>J37+J24</f>
        <v>0</v>
      </c>
      <c r="K38" s="74"/>
      <c r="L38" s="59">
        <f>L37+L24</f>
        <v>0</v>
      </c>
      <c r="M38" s="74"/>
      <c r="N38" s="74"/>
      <c r="O38" s="60">
        <f>O24</f>
        <v>0</v>
      </c>
    </row>
    <row r="39" spans="2:15" ht="17" thickBot="1">
      <c r="B39" s="1969" t="s">
        <v>181</v>
      </c>
      <c r="C39" s="1969"/>
      <c r="D39" s="1969"/>
      <c r="E39" s="1969"/>
      <c r="F39" s="1969"/>
      <c r="G39" s="1969"/>
      <c r="H39" s="1969"/>
      <c r="I39" s="1969"/>
      <c r="J39" s="1969"/>
      <c r="K39" s="1969"/>
      <c r="L39" s="1969"/>
      <c r="M39" s="1969"/>
      <c r="N39" s="1969"/>
      <c r="O39" s="1969"/>
    </row>
    <row r="40" spans="2:15">
      <c r="B40" s="1970" t="s">
        <v>46</v>
      </c>
      <c r="C40" s="1971"/>
      <c r="D40" s="1971" t="s">
        <v>47</v>
      </c>
      <c r="E40" s="1971"/>
      <c r="F40" s="1973"/>
      <c r="G40" s="1974" t="s">
        <v>48</v>
      </c>
      <c r="H40" s="1975"/>
      <c r="I40" s="1975"/>
      <c r="J40" s="1975"/>
      <c r="K40" s="1975"/>
      <c r="L40" s="1976"/>
      <c r="M40" s="1970" t="s">
        <v>49</v>
      </c>
      <c r="N40" s="1977"/>
      <c r="O40" s="1978"/>
    </row>
    <row r="41" spans="2:15">
      <c r="B41" s="1121"/>
      <c r="C41" s="1130"/>
      <c r="D41" s="1130" t="s">
        <v>50</v>
      </c>
      <c r="E41" s="1130" t="s">
        <v>51</v>
      </c>
      <c r="F41" s="1979" t="s">
        <v>52</v>
      </c>
      <c r="G41" s="24">
        <v>9</v>
      </c>
      <c r="H41" s="25" t="s">
        <v>53</v>
      </c>
      <c r="I41" s="26">
        <v>12</v>
      </c>
      <c r="J41" s="25" t="s">
        <v>53</v>
      </c>
      <c r="K41" s="26">
        <v>15</v>
      </c>
      <c r="L41" s="27" t="s">
        <v>53</v>
      </c>
      <c r="M41" s="1121" t="s">
        <v>54</v>
      </c>
      <c r="N41" s="1981" t="s">
        <v>184</v>
      </c>
      <c r="O41" s="1983" t="s">
        <v>49</v>
      </c>
    </row>
    <row r="42" spans="2:15">
      <c r="B42" s="1121"/>
      <c r="C42" s="1130"/>
      <c r="D42" s="1130"/>
      <c r="E42" s="1130"/>
      <c r="F42" s="1979"/>
      <c r="G42" s="28" t="s">
        <v>55</v>
      </c>
      <c r="H42" s="29" t="s">
        <v>48</v>
      </c>
      <c r="I42" s="29" t="s">
        <v>55</v>
      </c>
      <c r="J42" s="29" t="s">
        <v>48</v>
      </c>
      <c r="K42" s="29" t="s">
        <v>55</v>
      </c>
      <c r="L42" s="30" t="s">
        <v>48</v>
      </c>
      <c r="M42" s="1121"/>
      <c r="N42" s="1982"/>
      <c r="O42" s="1983"/>
    </row>
    <row r="43" spans="2:15" ht="13.5" thickBot="1">
      <c r="B43" s="1122"/>
      <c r="C43" s="1972"/>
      <c r="D43" s="1972"/>
      <c r="E43" s="31" t="s">
        <v>56</v>
      </c>
      <c r="F43" s="32" t="s">
        <v>878</v>
      </c>
      <c r="G43" s="33" t="s">
        <v>738</v>
      </c>
      <c r="H43" s="31" t="s">
        <v>12</v>
      </c>
      <c r="I43" s="31" t="s">
        <v>738</v>
      </c>
      <c r="J43" s="31" t="s">
        <v>12</v>
      </c>
      <c r="K43" s="31" t="s">
        <v>738</v>
      </c>
      <c r="L43" s="34" t="s">
        <v>12</v>
      </c>
      <c r="M43" s="53" t="s">
        <v>738</v>
      </c>
      <c r="N43" s="148" t="s">
        <v>10</v>
      </c>
      <c r="O43" s="125" t="s">
        <v>12</v>
      </c>
    </row>
    <row r="44" spans="2:15" ht="13.5" thickBot="1">
      <c r="B44" s="1984" t="s">
        <v>60</v>
      </c>
      <c r="C44" s="37" t="s">
        <v>61</v>
      </c>
      <c r="D44" s="38" t="s">
        <v>10</v>
      </c>
      <c r="E44" s="38">
        <f t="shared" ref="E44:E60" si="12">E7</f>
        <v>0</v>
      </c>
      <c r="F44" s="212">
        <f>入力!D76</f>
        <v>3.91</v>
      </c>
      <c r="G44" s="292">
        <f>'外壁実効温度差（ETD)一覧表'!L59</f>
        <v>7.1</v>
      </c>
      <c r="H44" s="107">
        <f>G44*F44*E44</f>
        <v>0</v>
      </c>
      <c r="I44" s="311">
        <f>'外壁実効温度差（ETD)一覧表'!O59</f>
        <v>16.100000000000001</v>
      </c>
      <c r="J44" s="107">
        <f>I44*F44*E44</f>
        <v>0</v>
      </c>
      <c r="K44" s="113">
        <f>'外壁実効温度差（ETD)一覧表'!R59</f>
        <v>23.1</v>
      </c>
      <c r="L44" s="108">
        <f>K44*F44*E44</f>
        <v>0</v>
      </c>
      <c r="M44" s="126">
        <f>20--1.5</f>
        <v>21.5</v>
      </c>
      <c r="N44" s="154">
        <v>1</v>
      </c>
      <c r="O44" s="60">
        <f>M44*F44*E44*N44</f>
        <v>0</v>
      </c>
    </row>
    <row r="45" spans="2:15">
      <c r="B45" s="1985"/>
      <c r="C45" s="1970" t="s">
        <v>62</v>
      </c>
      <c r="D45" s="42" t="s">
        <v>63</v>
      </c>
      <c r="E45" s="42">
        <f t="shared" si="12"/>
        <v>0</v>
      </c>
      <c r="F45" s="213">
        <f>入力!D93</f>
        <v>1.18</v>
      </c>
      <c r="G45" s="308">
        <f>'外壁実効温度差（ETD)一覧表'!L60</f>
        <v>3.1</v>
      </c>
      <c r="H45" s="45">
        <f t="shared" ref="H45:H60" si="13">G45*F45*E45</f>
        <v>0</v>
      </c>
      <c r="I45" s="312">
        <f>'外壁実効温度差（ETD)一覧表'!O60</f>
        <v>4.0999999999999996</v>
      </c>
      <c r="J45" s="45">
        <f>I45*F45*E45</f>
        <v>0</v>
      </c>
      <c r="K45" s="314">
        <f>'外壁実効温度差（ETD)一覧表'!R60</f>
        <v>6.1</v>
      </c>
      <c r="L45" s="46">
        <f t="shared" ref="L45:L60" si="14">K45*F45*E45</f>
        <v>0</v>
      </c>
      <c r="M45" s="44">
        <f t="shared" ref="M45:M60" si="15">20--1.5</f>
        <v>21.5</v>
      </c>
      <c r="N45" s="149">
        <v>1.1000000000000001</v>
      </c>
      <c r="O45" s="46">
        <f>M45*F45*E45*N45</f>
        <v>0</v>
      </c>
    </row>
    <row r="46" spans="2:15">
      <c r="B46" s="1985"/>
      <c r="C46" s="1121"/>
      <c r="D46" s="4" t="s">
        <v>64</v>
      </c>
      <c r="E46" s="4">
        <f t="shared" si="12"/>
        <v>0</v>
      </c>
      <c r="F46" s="214">
        <f>入力!D94</f>
        <v>1.18</v>
      </c>
      <c r="G46" s="309">
        <f>'外壁実効温度差（ETD)一覧表'!L61</f>
        <v>7.1</v>
      </c>
      <c r="H46" s="48">
        <f t="shared" si="13"/>
        <v>0</v>
      </c>
      <c r="I46" s="301">
        <f>'外壁実効温度差（ETD)一覧表'!O61</f>
        <v>9.1</v>
      </c>
      <c r="J46" s="48">
        <f>I46*F46*E46</f>
        <v>0</v>
      </c>
      <c r="K46" s="315">
        <f>'外壁実効温度差（ETD)一覧表'!R61</f>
        <v>9.1</v>
      </c>
      <c r="L46" s="41">
        <f t="shared" si="14"/>
        <v>0</v>
      </c>
      <c r="M46" s="35">
        <f t="shared" si="15"/>
        <v>21.5</v>
      </c>
      <c r="N46" s="84">
        <v>1.05</v>
      </c>
      <c r="O46" s="41">
        <f>M46*F46*E46*N46</f>
        <v>0</v>
      </c>
    </row>
    <row r="47" spans="2:15">
      <c r="B47" s="1985"/>
      <c r="C47" s="1121"/>
      <c r="D47" s="4" t="s">
        <v>65</v>
      </c>
      <c r="E47" s="4">
        <f t="shared" si="12"/>
        <v>0</v>
      </c>
      <c r="F47" s="214">
        <f>入力!D95</f>
        <v>1.18</v>
      </c>
      <c r="G47" s="309">
        <f>'外壁実効温度差（ETD)一覧表'!L62</f>
        <v>8.1</v>
      </c>
      <c r="H47" s="48">
        <f t="shared" si="13"/>
        <v>0</v>
      </c>
      <c r="I47" s="301">
        <f>'外壁実効温度差（ETD)一覧表'!O62</f>
        <v>12.1</v>
      </c>
      <c r="J47" s="48">
        <f t="shared" ref="J47:J60" si="16">I47*F47*E47</f>
        <v>0</v>
      </c>
      <c r="K47" s="315">
        <f>'外壁実効温度差（ETD)一覧表'!R62</f>
        <v>11.1</v>
      </c>
      <c r="L47" s="41">
        <f t="shared" si="14"/>
        <v>0</v>
      </c>
      <c r="M47" s="35">
        <f t="shared" si="15"/>
        <v>21.5</v>
      </c>
      <c r="N47" s="84">
        <v>1.05</v>
      </c>
      <c r="O47" s="41">
        <f t="shared" ref="O47:O51" si="17">M47*F47*E47*N47</f>
        <v>0</v>
      </c>
    </row>
    <row r="48" spans="2:15">
      <c r="B48" s="1985"/>
      <c r="C48" s="1121"/>
      <c r="D48" s="4" t="s">
        <v>66</v>
      </c>
      <c r="E48" s="4">
        <f t="shared" si="12"/>
        <v>0</v>
      </c>
      <c r="F48" s="214">
        <f>入力!D96</f>
        <v>1.18</v>
      </c>
      <c r="G48" s="309">
        <f>'外壁実効温度差（ETD)一覧表'!L63</f>
        <v>6.1</v>
      </c>
      <c r="H48" s="48">
        <f t="shared" si="13"/>
        <v>0</v>
      </c>
      <c r="I48" s="301">
        <f>'外壁実効温度差（ETD)一覧表'!O63</f>
        <v>11.1</v>
      </c>
      <c r="J48" s="48">
        <f t="shared" si="16"/>
        <v>0</v>
      </c>
      <c r="K48" s="315">
        <f>'外壁実効温度差（ETD)一覧表'!R63</f>
        <v>11.1</v>
      </c>
      <c r="L48" s="41">
        <f t="shared" si="14"/>
        <v>0</v>
      </c>
      <c r="M48" s="35">
        <f t="shared" si="15"/>
        <v>21.5</v>
      </c>
      <c r="N48" s="84">
        <v>1.05</v>
      </c>
      <c r="O48" s="41">
        <f t="shared" si="17"/>
        <v>0</v>
      </c>
    </row>
    <row r="49" spans="2:15">
      <c r="B49" s="1985"/>
      <c r="C49" s="1121"/>
      <c r="D49" s="4" t="s">
        <v>67</v>
      </c>
      <c r="E49" s="4">
        <f t="shared" si="12"/>
        <v>0</v>
      </c>
      <c r="F49" s="214">
        <f>入力!D97</f>
        <v>1.18</v>
      </c>
      <c r="G49" s="309">
        <f>'外壁実効温度差（ETD)一覧表'!L64</f>
        <v>2.1</v>
      </c>
      <c r="H49" s="48">
        <f t="shared" si="13"/>
        <v>0</v>
      </c>
      <c r="I49" s="301">
        <f>'外壁実効温度差（ETD)一覧表'!O64</f>
        <v>5.0999999999999996</v>
      </c>
      <c r="J49" s="48">
        <f t="shared" si="16"/>
        <v>0</v>
      </c>
      <c r="K49" s="315">
        <f>'外壁実効温度差（ETD)一覧表'!R64</f>
        <v>9.1</v>
      </c>
      <c r="L49" s="41">
        <f t="shared" si="14"/>
        <v>0</v>
      </c>
      <c r="M49" s="35">
        <f t="shared" si="15"/>
        <v>21.5</v>
      </c>
      <c r="N49" s="84">
        <v>1</v>
      </c>
      <c r="O49" s="41">
        <f t="shared" si="17"/>
        <v>0</v>
      </c>
    </row>
    <row r="50" spans="2:15">
      <c r="B50" s="1985"/>
      <c r="C50" s="1121"/>
      <c r="D50" s="4" t="s">
        <v>68</v>
      </c>
      <c r="E50" s="4">
        <f t="shared" si="12"/>
        <v>0</v>
      </c>
      <c r="F50" s="214">
        <f>入力!D98</f>
        <v>1.18</v>
      </c>
      <c r="G50" s="309">
        <f>'外壁実効温度差（ETD)一覧表'!L65</f>
        <v>2.1</v>
      </c>
      <c r="H50" s="48">
        <f t="shared" si="13"/>
        <v>0</v>
      </c>
      <c r="I50" s="301">
        <f>'外壁実効温度差（ETD)一覧表'!O65</f>
        <v>4.0999999999999996</v>
      </c>
      <c r="J50" s="48">
        <f t="shared" si="16"/>
        <v>0</v>
      </c>
      <c r="K50" s="315">
        <f>'外壁実効温度差（ETD)一覧表'!R65</f>
        <v>9.1</v>
      </c>
      <c r="L50" s="41">
        <f t="shared" si="14"/>
        <v>0</v>
      </c>
      <c r="M50" s="35">
        <f t="shared" si="15"/>
        <v>21.5</v>
      </c>
      <c r="N50" s="84">
        <v>1.05</v>
      </c>
      <c r="O50" s="41">
        <f t="shared" si="17"/>
        <v>0</v>
      </c>
    </row>
    <row r="51" spans="2:15">
      <c r="B51" s="1985"/>
      <c r="C51" s="1121"/>
      <c r="D51" s="4" t="s">
        <v>69</v>
      </c>
      <c r="E51" s="4">
        <f t="shared" si="12"/>
        <v>0</v>
      </c>
      <c r="F51" s="214">
        <f>入力!D99</f>
        <v>1.18</v>
      </c>
      <c r="G51" s="309">
        <f>'外壁実効温度差（ETD)一覧表'!L66</f>
        <v>2.1</v>
      </c>
      <c r="H51" s="48">
        <f t="shared" si="13"/>
        <v>0</v>
      </c>
      <c r="I51" s="301">
        <f>'外壁実効温度差（ETD)一覧表'!O66</f>
        <v>4.0999999999999996</v>
      </c>
      <c r="J51" s="48">
        <f t="shared" si="16"/>
        <v>0</v>
      </c>
      <c r="K51" s="315">
        <f>'外壁実効温度差（ETD)一覧表'!R66</f>
        <v>8.1</v>
      </c>
      <c r="L51" s="41">
        <f t="shared" si="14"/>
        <v>0</v>
      </c>
      <c r="M51" s="35">
        <f t="shared" si="15"/>
        <v>21.5</v>
      </c>
      <c r="N51" s="84">
        <v>1.1000000000000001</v>
      </c>
      <c r="O51" s="41">
        <f t="shared" si="17"/>
        <v>0</v>
      </c>
    </row>
    <row r="52" spans="2:15" ht="13.5" thickBot="1">
      <c r="B52" s="1985"/>
      <c r="C52" s="1122"/>
      <c r="D52" s="31" t="s">
        <v>70</v>
      </c>
      <c r="E52" s="31">
        <f t="shared" si="12"/>
        <v>0</v>
      </c>
      <c r="F52" s="215">
        <f>入力!D100</f>
        <v>1.18</v>
      </c>
      <c r="G52" s="310">
        <f>'外壁実効温度差（ETD)一覧表'!L67</f>
        <v>2.1</v>
      </c>
      <c r="H52" s="49">
        <f t="shared" si="13"/>
        <v>0</v>
      </c>
      <c r="I52" s="313">
        <f>'外壁実効温度差（ETD)一覧表'!O67</f>
        <v>4.0999999999999996</v>
      </c>
      <c r="J52" s="49">
        <f t="shared" si="16"/>
        <v>0</v>
      </c>
      <c r="K52" s="316">
        <f>'外壁実効温度差（ETD)一覧表'!R67</f>
        <v>6.1</v>
      </c>
      <c r="L52" s="50">
        <f t="shared" si="14"/>
        <v>0</v>
      </c>
      <c r="M52" s="33">
        <f t="shared" si="15"/>
        <v>21.5</v>
      </c>
      <c r="N52" s="150">
        <v>1.1000000000000001</v>
      </c>
      <c r="O52" s="50">
        <f>M52*F52*E52*N52</f>
        <v>0</v>
      </c>
    </row>
    <row r="53" spans="2:15">
      <c r="B53" s="1985"/>
      <c r="C53" s="1970" t="s">
        <v>71</v>
      </c>
      <c r="D53" s="42" t="s">
        <v>63</v>
      </c>
      <c r="E53" s="42">
        <f t="shared" si="12"/>
        <v>0</v>
      </c>
      <c r="F53" s="171">
        <f>入力!G140</f>
        <v>5.95</v>
      </c>
      <c r="G53" s="308">
        <f t="shared" ref="G53:I60" si="18">G16</f>
        <v>3.8999999999999986</v>
      </c>
      <c r="H53" s="45">
        <f t="shared" si="13"/>
        <v>0</v>
      </c>
      <c r="I53" s="312">
        <f t="shared" si="18"/>
        <v>3.8999999999999986</v>
      </c>
      <c r="J53" s="45">
        <f t="shared" si="16"/>
        <v>0</v>
      </c>
      <c r="K53" s="314">
        <f t="shared" ref="K53:K60" si="19">K16</f>
        <v>3.8999999999999986</v>
      </c>
      <c r="L53" s="46">
        <f t="shared" si="14"/>
        <v>0</v>
      </c>
      <c r="M53" s="77">
        <f t="shared" si="15"/>
        <v>21.5</v>
      </c>
      <c r="N53" s="149">
        <v>1.1000000000000001</v>
      </c>
      <c r="O53" s="46">
        <f>M53*F53*E53*N53</f>
        <v>0</v>
      </c>
    </row>
    <row r="54" spans="2:15">
      <c r="B54" s="1985"/>
      <c r="C54" s="1121"/>
      <c r="D54" s="4" t="s">
        <v>64</v>
      </c>
      <c r="E54" s="4">
        <f t="shared" si="12"/>
        <v>0</v>
      </c>
      <c r="F54" s="36">
        <f>入力!G141</f>
        <v>5.95</v>
      </c>
      <c r="G54" s="309">
        <f t="shared" si="18"/>
        <v>3.8999999999999986</v>
      </c>
      <c r="H54" s="48">
        <f t="shared" si="13"/>
        <v>0</v>
      </c>
      <c r="I54" s="301">
        <f t="shared" si="18"/>
        <v>3.8999999999999986</v>
      </c>
      <c r="J54" s="48">
        <f t="shared" si="16"/>
        <v>0</v>
      </c>
      <c r="K54" s="315">
        <f t="shared" si="19"/>
        <v>3.8999999999999986</v>
      </c>
      <c r="L54" s="41">
        <f t="shared" si="14"/>
        <v>0</v>
      </c>
      <c r="M54" s="66">
        <f t="shared" si="15"/>
        <v>21.5</v>
      </c>
      <c r="N54" s="84">
        <v>1.05</v>
      </c>
      <c r="O54" s="41">
        <f>M54*F54*E54*N54</f>
        <v>0</v>
      </c>
    </row>
    <row r="55" spans="2:15">
      <c r="B55" s="1985"/>
      <c r="C55" s="1121"/>
      <c r="D55" s="4" t="s">
        <v>65</v>
      </c>
      <c r="E55" s="4">
        <f t="shared" si="12"/>
        <v>0</v>
      </c>
      <c r="F55" s="36">
        <f>入力!G142</f>
        <v>5.95</v>
      </c>
      <c r="G55" s="309">
        <f t="shared" si="18"/>
        <v>3.8999999999999986</v>
      </c>
      <c r="H55" s="48">
        <f t="shared" si="13"/>
        <v>0</v>
      </c>
      <c r="I55" s="301">
        <f t="shared" si="18"/>
        <v>3.8999999999999986</v>
      </c>
      <c r="J55" s="48">
        <f t="shared" si="16"/>
        <v>0</v>
      </c>
      <c r="K55" s="315">
        <f t="shared" si="19"/>
        <v>3.8999999999999986</v>
      </c>
      <c r="L55" s="41">
        <f t="shared" si="14"/>
        <v>0</v>
      </c>
      <c r="M55" s="66">
        <f t="shared" si="15"/>
        <v>21.5</v>
      </c>
      <c r="N55" s="84">
        <v>1.05</v>
      </c>
      <c r="O55" s="41">
        <f t="shared" ref="O55:O59" si="20">M55*F55*E55*N55</f>
        <v>0</v>
      </c>
    </row>
    <row r="56" spans="2:15">
      <c r="B56" s="1985"/>
      <c r="C56" s="1121"/>
      <c r="D56" s="4" t="s">
        <v>66</v>
      </c>
      <c r="E56" s="4">
        <f t="shared" si="12"/>
        <v>0</v>
      </c>
      <c r="F56" s="36">
        <f>入力!G143</f>
        <v>5.95</v>
      </c>
      <c r="G56" s="309">
        <f t="shared" si="18"/>
        <v>3.8999999999999986</v>
      </c>
      <c r="H56" s="48">
        <f t="shared" si="13"/>
        <v>0</v>
      </c>
      <c r="I56" s="301">
        <f t="shared" si="18"/>
        <v>3.8999999999999986</v>
      </c>
      <c r="J56" s="48">
        <f t="shared" si="16"/>
        <v>0</v>
      </c>
      <c r="K56" s="315">
        <f t="shared" si="19"/>
        <v>3.8999999999999986</v>
      </c>
      <c r="L56" s="41">
        <f t="shared" si="14"/>
        <v>0</v>
      </c>
      <c r="M56" s="66">
        <f t="shared" si="15"/>
        <v>21.5</v>
      </c>
      <c r="N56" s="84">
        <v>1.05</v>
      </c>
      <c r="O56" s="41">
        <f t="shared" si="20"/>
        <v>0</v>
      </c>
    </row>
    <row r="57" spans="2:15">
      <c r="B57" s="1985"/>
      <c r="C57" s="1121"/>
      <c r="D57" s="4" t="s">
        <v>67</v>
      </c>
      <c r="E57" s="4">
        <f t="shared" si="12"/>
        <v>0</v>
      </c>
      <c r="F57" s="36">
        <f>入力!G144</f>
        <v>5.95</v>
      </c>
      <c r="G57" s="309">
        <f t="shared" si="18"/>
        <v>3.8999999999999986</v>
      </c>
      <c r="H57" s="48">
        <f t="shared" si="13"/>
        <v>0</v>
      </c>
      <c r="I57" s="301">
        <f t="shared" si="18"/>
        <v>3.8999999999999986</v>
      </c>
      <c r="J57" s="48">
        <f t="shared" si="16"/>
        <v>0</v>
      </c>
      <c r="K57" s="315">
        <f t="shared" si="19"/>
        <v>3.8999999999999986</v>
      </c>
      <c r="L57" s="41">
        <f t="shared" si="14"/>
        <v>0</v>
      </c>
      <c r="M57" s="66">
        <f t="shared" si="15"/>
        <v>21.5</v>
      </c>
      <c r="N57" s="84">
        <v>1</v>
      </c>
      <c r="O57" s="41">
        <f t="shared" si="20"/>
        <v>0</v>
      </c>
    </row>
    <row r="58" spans="2:15">
      <c r="B58" s="1985"/>
      <c r="C58" s="1121"/>
      <c r="D58" s="4" t="s">
        <v>68</v>
      </c>
      <c r="E58" s="4">
        <f t="shared" si="12"/>
        <v>0</v>
      </c>
      <c r="F58" s="36">
        <f>入力!G145</f>
        <v>5.95</v>
      </c>
      <c r="G58" s="309">
        <f t="shared" si="18"/>
        <v>3.8999999999999986</v>
      </c>
      <c r="H58" s="48">
        <f t="shared" si="13"/>
        <v>0</v>
      </c>
      <c r="I58" s="301">
        <f t="shared" si="18"/>
        <v>3.8999999999999986</v>
      </c>
      <c r="J58" s="48">
        <f t="shared" si="16"/>
        <v>0</v>
      </c>
      <c r="K58" s="315">
        <f t="shared" si="19"/>
        <v>3.8999999999999986</v>
      </c>
      <c r="L58" s="41">
        <f t="shared" si="14"/>
        <v>0</v>
      </c>
      <c r="M58" s="66">
        <f t="shared" si="15"/>
        <v>21.5</v>
      </c>
      <c r="N58" s="84">
        <v>1.05</v>
      </c>
      <c r="O58" s="41">
        <f t="shared" si="20"/>
        <v>0</v>
      </c>
    </row>
    <row r="59" spans="2:15">
      <c r="B59" s="1985"/>
      <c r="C59" s="1121"/>
      <c r="D59" s="4" t="s">
        <v>69</v>
      </c>
      <c r="E59" s="4">
        <f t="shared" si="12"/>
        <v>0</v>
      </c>
      <c r="F59" s="36">
        <f>入力!G146</f>
        <v>5.95</v>
      </c>
      <c r="G59" s="309">
        <f t="shared" si="18"/>
        <v>3.8999999999999986</v>
      </c>
      <c r="H59" s="48">
        <f t="shared" si="13"/>
        <v>0</v>
      </c>
      <c r="I59" s="301">
        <f t="shared" si="18"/>
        <v>3.8999999999999986</v>
      </c>
      <c r="J59" s="48">
        <f t="shared" si="16"/>
        <v>0</v>
      </c>
      <c r="K59" s="315">
        <f t="shared" si="19"/>
        <v>3.8999999999999986</v>
      </c>
      <c r="L59" s="41">
        <f t="shared" si="14"/>
        <v>0</v>
      </c>
      <c r="M59" s="66">
        <f t="shared" si="15"/>
        <v>21.5</v>
      </c>
      <c r="N59" s="84">
        <v>1.1000000000000001</v>
      </c>
      <c r="O59" s="41">
        <f t="shared" si="20"/>
        <v>0</v>
      </c>
    </row>
    <row r="60" spans="2:15" ht="13.5" thickBot="1">
      <c r="B60" s="1986"/>
      <c r="C60" s="1122"/>
      <c r="D60" s="31" t="s">
        <v>70</v>
      </c>
      <c r="E60" s="31">
        <f t="shared" si="12"/>
        <v>0</v>
      </c>
      <c r="F60" s="34">
        <f>入力!G147</f>
        <v>5.95</v>
      </c>
      <c r="G60" s="310">
        <f t="shared" si="18"/>
        <v>3.8999999999999986</v>
      </c>
      <c r="H60" s="49">
        <f t="shared" si="13"/>
        <v>0</v>
      </c>
      <c r="I60" s="313">
        <f t="shared" si="18"/>
        <v>3.8999999999999986</v>
      </c>
      <c r="J60" s="49">
        <f t="shared" si="16"/>
        <v>0</v>
      </c>
      <c r="K60" s="80">
        <f t="shared" si="19"/>
        <v>3.8999999999999986</v>
      </c>
      <c r="L60" s="50">
        <f t="shared" si="14"/>
        <v>0</v>
      </c>
      <c r="M60" s="114">
        <f t="shared" si="15"/>
        <v>21.5</v>
      </c>
      <c r="N60" s="150">
        <v>1.1000000000000001</v>
      </c>
      <c r="O60" s="50">
        <f>M60*F60*E60*N60</f>
        <v>0</v>
      </c>
    </row>
    <row r="61" spans="2:15" ht="13.5" thickBot="1">
      <c r="B61" s="1988" t="s">
        <v>72</v>
      </c>
      <c r="C61" s="1989"/>
      <c r="D61" s="1989"/>
      <c r="E61" s="56"/>
      <c r="F61" s="57"/>
      <c r="G61" s="122"/>
      <c r="H61" s="39">
        <f>SUM(H44:H60)</f>
        <v>0</v>
      </c>
      <c r="I61" s="123"/>
      <c r="J61" s="39">
        <f>SUM(J44:J60)</f>
        <v>0</v>
      </c>
      <c r="K61" s="124"/>
      <c r="L61" s="40">
        <f>SUM(L44:L60)</f>
        <v>0</v>
      </c>
      <c r="M61" s="58"/>
      <c r="N61" s="74"/>
      <c r="O61" s="60">
        <f>SUM(O44:O60)</f>
        <v>0</v>
      </c>
    </row>
    <row r="62" spans="2:15">
      <c r="B62" s="1970" t="s">
        <v>46</v>
      </c>
      <c r="C62" s="1971"/>
      <c r="D62" s="1971" t="s">
        <v>47</v>
      </c>
      <c r="E62" s="1971"/>
      <c r="F62" s="1978"/>
      <c r="G62" s="1990" t="s">
        <v>48</v>
      </c>
      <c r="H62" s="1971"/>
      <c r="I62" s="1971"/>
      <c r="J62" s="1971"/>
      <c r="K62" s="1971"/>
      <c r="L62" s="1978"/>
      <c r="M62" s="61"/>
      <c r="N62" s="151"/>
      <c r="O62" s="62"/>
    </row>
    <row r="63" spans="2:15">
      <c r="B63" s="1121"/>
      <c r="C63" s="1130"/>
      <c r="D63" s="1130" t="s">
        <v>50</v>
      </c>
      <c r="E63" s="1130" t="s">
        <v>51</v>
      </c>
      <c r="F63" s="1983" t="s">
        <v>73</v>
      </c>
      <c r="G63" s="24">
        <v>9</v>
      </c>
      <c r="H63" s="25" t="s">
        <v>53</v>
      </c>
      <c r="I63" s="26">
        <v>12</v>
      </c>
      <c r="J63" s="25" t="s">
        <v>53</v>
      </c>
      <c r="K63" s="26">
        <v>15</v>
      </c>
      <c r="L63" s="27" t="s">
        <v>53</v>
      </c>
      <c r="M63" s="64"/>
      <c r="N63" s="152"/>
      <c r="O63" s="65"/>
    </row>
    <row r="64" spans="2:15">
      <c r="B64" s="1121"/>
      <c r="C64" s="1130"/>
      <c r="D64" s="1130"/>
      <c r="E64" s="1130"/>
      <c r="F64" s="1983"/>
      <c r="G64" s="66" t="s">
        <v>74</v>
      </c>
      <c r="H64" s="4" t="s">
        <v>48</v>
      </c>
      <c r="I64" s="4" t="s">
        <v>74</v>
      </c>
      <c r="J64" s="4" t="s">
        <v>48</v>
      </c>
      <c r="K64" s="4" t="s">
        <v>74</v>
      </c>
      <c r="L64" s="36" t="s">
        <v>48</v>
      </c>
      <c r="M64" s="64"/>
      <c r="N64" s="152"/>
      <c r="O64" s="65"/>
    </row>
    <row r="65" spans="2:15" ht="13.5" thickBot="1">
      <c r="B65" s="1122"/>
      <c r="C65" s="1972"/>
      <c r="D65" s="1972"/>
      <c r="E65" s="31" t="s">
        <v>56</v>
      </c>
      <c r="F65" s="34" t="s">
        <v>10</v>
      </c>
      <c r="G65" s="67" t="s">
        <v>75</v>
      </c>
      <c r="H65" s="31" t="s">
        <v>12</v>
      </c>
      <c r="I65" s="31" t="s">
        <v>75</v>
      </c>
      <c r="J65" s="31" t="s">
        <v>12</v>
      </c>
      <c r="K65" s="31" t="s">
        <v>75</v>
      </c>
      <c r="L65" s="34" t="s">
        <v>12</v>
      </c>
      <c r="M65" s="64"/>
      <c r="N65" s="152"/>
      <c r="O65" s="65"/>
    </row>
    <row r="66" spans="2:15">
      <c r="B66" s="1991" t="s">
        <v>76</v>
      </c>
      <c r="C66" s="1982" t="s">
        <v>71</v>
      </c>
      <c r="D66" s="29" t="s">
        <v>63</v>
      </c>
      <c r="E66" s="29">
        <f>E53</f>
        <v>0</v>
      </c>
      <c r="F66" s="30">
        <f>入力!H140</f>
        <v>0.876</v>
      </c>
      <c r="G66" s="303">
        <f>G29</f>
        <v>39.06</v>
      </c>
      <c r="H66" s="78">
        <f>G66*F66*E66</f>
        <v>0</v>
      </c>
      <c r="I66" s="306">
        <f t="shared" ref="I66:I73" si="21">I29</f>
        <v>39.99</v>
      </c>
      <c r="J66" s="78">
        <f>I66*F66*E66</f>
        <v>0</v>
      </c>
      <c r="K66" s="306">
        <f t="shared" ref="K66:K73" si="22">K29</f>
        <v>37.200000000000003</v>
      </c>
      <c r="L66" s="79">
        <f>K66*F66*E66</f>
        <v>0</v>
      </c>
      <c r="M66" s="64"/>
      <c r="N66" s="152"/>
      <c r="O66" s="65"/>
    </row>
    <row r="67" spans="2:15">
      <c r="B67" s="1991"/>
      <c r="C67" s="1130"/>
      <c r="D67" s="4" t="s">
        <v>64</v>
      </c>
      <c r="E67" s="4">
        <f t="shared" ref="E67:E73" si="23">E54</f>
        <v>0</v>
      </c>
      <c r="F67" s="36">
        <f>入力!H141</f>
        <v>0.876</v>
      </c>
      <c r="G67" s="304">
        <f t="shared" ref="G67:G73" si="24">G30</f>
        <v>227.85000000000002</v>
      </c>
      <c r="H67" s="48">
        <f t="shared" ref="H67:H68" si="25">G67*F67*E67</f>
        <v>0</v>
      </c>
      <c r="I67" s="307">
        <f t="shared" si="21"/>
        <v>39.99</v>
      </c>
      <c r="J67" s="48">
        <f t="shared" ref="J67:J73" si="26">I67*F67*E67</f>
        <v>0</v>
      </c>
      <c r="K67" s="307">
        <f t="shared" si="22"/>
        <v>37.200000000000003</v>
      </c>
      <c r="L67" s="41">
        <f t="shared" ref="L67:L73" si="27">K67*F67*E67</f>
        <v>0</v>
      </c>
      <c r="M67" s="64"/>
      <c r="N67" s="152"/>
      <c r="O67" s="65"/>
    </row>
    <row r="68" spans="2:15">
      <c r="B68" s="1991"/>
      <c r="C68" s="1130"/>
      <c r="D68" s="4" t="s">
        <v>65</v>
      </c>
      <c r="E68" s="4">
        <f t="shared" si="23"/>
        <v>0</v>
      </c>
      <c r="F68" s="36">
        <f>入力!H142</f>
        <v>0.876</v>
      </c>
      <c r="G68" s="304">
        <f t="shared" si="24"/>
        <v>456.63000000000005</v>
      </c>
      <c r="H68" s="48">
        <f t="shared" si="25"/>
        <v>0</v>
      </c>
      <c r="I68" s="307">
        <f t="shared" si="21"/>
        <v>39.99</v>
      </c>
      <c r="J68" s="48">
        <f t="shared" si="26"/>
        <v>0</v>
      </c>
      <c r="K68" s="307">
        <f t="shared" si="22"/>
        <v>37.200000000000003</v>
      </c>
      <c r="L68" s="41">
        <f t="shared" si="27"/>
        <v>0</v>
      </c>
      <c r="M68" s="64"/>
      <c r="N68" s="152"/>
      <c r="O68" s="65"/>
    </row>
    <row r="69" spans="2:15">
      <c r="B69" s="1991"/>
      <c r="C69" s="1130"/>
      <c r="D69" s="4" t="s">
        <v>66</v>
      </c>
      <c r="E69" s="4">
        <f t="shared" si="23"/>
        <v>0</v>
      </c>
      <c r="F69" s="36">
        <f>入力!H143</f>
        <v>0.876</v>
      </c>
      <c r="G69" s="304">
        <f t="shared" si="24"/>
        <v>380.37</v>
      </c>
      <c r="H69" s="48">
        <f>G69*F69*E69</f>
        <v>0</v>
      </c>
      <c r="I69" s="307">
        <f t="shared" si="21"/>
        <v>86.490000000000009</v>
      </c>
      <c r="J69" s="48">
        <f t="shared" si="26"/>
        <v>0</v>
      </c>
      <c r="K69" s="307">
        <f t="shared" si="22"/>
        <v>37.200000000000003</v>
      </c>
      <c r="L69" s="41">
        <f t="shared" si="27"/>
        <v>0</v>
      </c>
      <c r="M69" s="64"/>
      <c r="N69" s="152"/>
      <c r="O69" s="65"/>
    </row>
    <row r="70" spans="2:15">
      <c r="B70" s="1991"/>
      <c r="C70" s="1130"/>
      <c r="D70" s="4" t="s">
        <v>67</v>
      </c>
      <c r="E70" s="4">
        <f t="shared" si="23"/>
        <v>0</v>
      </c>
      <c r="F70" s="36">
        <f>入力!H144</f>
        <v>0.876</v>
      </c>
      <c r="G70" s="304">
        <f t="shared" si="24"/>
        <v>71.61</v>
      </c>
      <c r="H70" s="48">
        <f t="shared" ref="H70:H73" si="28">G70*F70*E70</f>
        <v>0</v>
      </c>
      <c r="I70" s="307">
        <f t="shared" si="21"/>
        <v>167.4</v>
      </c>
      <c r="J70" s="48">
        <f t="shared" si="26"/>
        <v>0</v>
      </c>
      <c r="K70" s="307">
        <f t="shared" si="22"/>
        <v>52.080000000000005</v>
      </c>
      <c r="L70" s="41">
        <f t="shared" si="27"/>
        <v>0</v>
      </c>
      <c r="M70" s="64"/>
      <c r="N70" s="152"/>
      <c r="O70" s="65"/>
    </row>
    <row r="71" spans="2:15">
      <c r="B71" s="1991"/>
      <c r="C71" s="1130"/>
      <c r="D71" s="4" t="s">
        <v>68</v>
      </c>
      <c r="E71" s="4">
        <f t="shared" si="23"/>
        <v>0</v>
      </c>
      <c r="F71" s="36">
        <f>入力!H145</f>
        <v>0.876</v>
      </c>
      <c r="G71" s="304">
        <f t="shared" si="24"/>
        <v>39.06</v>
      </c>
      <c r="H71" s="48">
        <f t="shared" si="28"/>
        <v>0</v>
      </c>
      <c r="I71" s="307">
        <f t="shared" si="21"/>
        <v>136.71</v>
      </c>
      <c r="J71" s="48">
        <f t="shared" si="26"/>
        <v>0</v>
      </c>
      <c r="K71" s="307">
        <f t="shared" si="22"/>
        <v>390.6</v>
      </c>
      <c r="L71" s="41">
        <f t="shared" si="27"/>
        <v>0</v>
      </c>
      <c r="M71" s="64"/>
      <c r="N71" s="152"/>
      <c r="O71" s="65"/>
    </row>
    <row r="72" spans="2:15">
      <c r="B72" s="1991"/>
      <c r="C72" s="1130"/>
      <c r="D72" s="4" t="s">
        <v>69</v>
      </c>
      <c r="E72" s="4">
        <f t="shared" si="23"/>
        <v>0</v>
      </c>
      <c r="F72" s="36">
        <f>入力!H146</f>
        <v>0.876</v>
      </c>
      <c r="G72" s="304">
        <f t="shared" si="24"/>
        <v>39.06</v>
      </c>
      <c r="H72" s="48">
        <f t="shared" si="28"/>
        <v>0</v>
      </c>
      <c r="I72" s="307">
        <f t="shared" si="21"/>
        <v>46.5</v>
      </c>
      <c r="J72" s="48">
        <f t="shared" si="26"/>
        <v>0</v>
      </c>
      <c r="K72" s="307">
        <f t="shared" si="22"/>
        <v>504.99</v>
      </c>
      <c r="L72" s="41">
        <f t="shared" si="27"/>
        <v>0</v>
      </c>
      <c r="M72" s="64"/>
      <c r="N72" s="152"/>
      <c r="O72" s="65"/>
    </row>
    <row r="73" spans="2:15" ht="13.5" thickBot="1">
      <c r="B73" s="1992"/>
      <c r="C73" s="1972"/>
      <c r="D73" s="31" t="s">
        <v>70</v>
      </c>
      <c r="E73" s="31">
        <f t="shared" si="23"/>
        <v>0</v>
      </c>
      <c r="F73" s="34">
        <f>入力!H147</f>
        <v>0.876</v>
      </c>
      <c r="G73" s="305">
        <f t="shared" si="24"/>
        <v>39.06</v>
      </c>
      <c r="H73" s="49">
        <f t="shared" si="28"/>
        <v>0</v>
      </c>
      <c r="I73" s="305">
        <f t="shared" si="21"/>
        <v>39.99</v>
      </c>
      <c r="J73" s="49">
        <f t="shared" si="26"/>
        <v>0</v>
      </c>
      <c r="K73" s="302">
        <f t="shared" si="22"/>
        <v>292.95</v>
      </c>
      <c r="L73" s="50">
        <f t="shared" si="27"/>
        <v>0</v>
      </c>
      <c r="M73" s="64"/>
      <c r="N73" s="152"/>
      <c r="O73" s="65"/>
    </row>
    <row r="74" spans="2:15" ht="13.5" thickBot="1">
      <c r="B74" s="1974" t="s">
        <v>72</v>
      </c>
      <c r="C74" s="1975"/>
      <c r="D74" s="1975"/>
      <c r="E74" s="68"/>
      <c r="F74" s="69"/>
      <c r="G74" s="70"/>
      <c r="H74" s="71">
        <f>SUM(H66:H73)</f>
        <v>0</v>
      </c>
      <c r="I74" s="68"/>
      <c r="J74" s="71">
        <f>SUM(J66:J73)</f>
        <v>0</v>
      </c>
      <c r="K74" s="68"/>
      <c r="L74" s="71">
        <f>SUM(L66:L73)</f>
        <v>0</v>
      </c>
      <c r="M74" s="72"/>
      <c r="N74" s="153"/>
      <c r="O74" s="73"/>
    </row>
    <row r="75" spans="2:15" ht="13.5" thickBot="1">
      <c r="B75" s="1131" t="s">
        <v>1</v>
      </c>
      <c r="C75" s="1132"/>
      <c r="D75" s="1132"/>
      <c r="E75" s="1993"/>
      <c r="F75" s="74"/>
      <c r="G75" s="74"/>
      <c r="H75" s="59">
        <f>H74+H61</f>
        <v>0</v>
      </c>
      <c r="I75" s="74"/>
      <c r="J75" s="59">
        <f>J74+J61</f>
        <v>0</v>
      </c>
      <c r="K75" s="74"/>
      <c r="L75" s="59">
        <f>L74+L61</f>
        <v>0</v>
      </c>
      <c r="M75" s="74"/>
      <c r="N75" s="74"/>
      <c r="O75" s="60">
        <f>O61</f>
        <v>0</v>
      </c>
    </row>
    <row r="78" spans="2:15" ht="17" thickBot="1">
      <c r="B78" s="1994" t="s">
        <v>182</v>
      </c>
      <c r="C78" s="1994"/>
      <c r="D78" s="1994"/>
      <c r="E78" s="1994"/>
      <c r="F78" s="1994"/>
      <c r="G78" s="1994"/>
      <c r="H78" s="1994"/>
      <c r="I78" s="1994"/>
      <c r="J78" s="1994"/>
      <c r="K78" s="1994"/>
      <c r="L78" s="1994"/>
      <c r="M78" s="1994"/>
      <c r="N78" s="1994"/>
      <c r="O78" s="1994"/>
    </row>
    <row r="79" spans="2:15" ht="25" customHeight="1">
      <c r="B79" s="1995" t="s">
        <v>81</v>
      </c>
      <c r="C79" s="1996"/>
      <c r="D79" s="1996"/>
      <c r="E79" s="1996"/>
      <c r="F79" s="1997"/>
      <c r="G79" s="2001" t="s">
        <v>158</v>
      </c>
      <c r="H79" s="2002"/>
      <c r="I79" s="2002"/>
      <c r="J79" s="2002"/>
      <c r="K79" s="2002"/>
      <c r="L79" s="2003"/>
      <c r="M79" s="2004" t="s">
        <v>159</v>
      </c>
      <c r="N79" s="2005"/>
      <c r="O79" s="2006"/>
    </row>
    <row r="80" spans="2:15" ht="25" customHeight="1" thickBot="1">
      <c r="B80" s="1998"/>
      <c r="C80" s="1999"/>
      <c r="D80" s="1999"/>
      <c r="E80" s="1999"/>
      <c r="F80" s="2000"/>
      <c r="G80" s="116">
        <v>9</v>
      </c>
      <c r="H80" s="117" t="s">
        <v>53</v>
      </c>
      <c r="I80" s="118">
        <v>12</v>
      </c>
      <c r="J80" s="117" t="s">
        <v>53</v>
      </c>
      <c r="K80" s="118">
        <v>15</v>
      </c>
      <c r="L80" s="119" t="s">
        <v>53</v>
      </c>
      <c r="M80" s="2007"/>
      <c r="N80" s="2008"/>
      <c r="O80" s="2009"/>
    </row>
    <row r="81" spans="2:15" ht="25" customHeight="1">
      <c r="B81" s="2020" t="s">
        <v>78</v>
      </c>
      <c r="C81" s="2021"/>
      <c r="D81" s="2021"/>
      <c r="E81" s="2021"/>
      <c r="F81" s="2022"/>
      <c r="G81" s="2023">
        <f>H38</f>
        <v>0</v>
      </c>
      <c r="H81" s="2024"/>
      <c r="I81" s="2025">
        <f>J38</f>
        <v>0</v>
      </c>
      <c r="J81" s="2024"/>
      <c r="K81" s="2025">
        <f>L38</f>
        <v>0</v>
      </c>
      <c r="L81" s="2026"/>
      <c r="M81" s="2027">
        <f>O38</f>
        <v>0</v>
      </c>
      <c r="N81" s="2028"/>
      <c r="O81" s="2029"/>
    </row>
    <row r="82" spans="2:15" ht="25" customHeight="1" thickBot="1">
      <c r="B82" s="2010" t="s">
        <v>79</v>
      </c>
      <c r="C82" s="2011"/>
      <c r="D82" s="2011"/>
      <c r="E82" s="2011"/>
      <c r="F82" s="2012"/>
      <c r="G82" s="2013">
        <f>H75</f>
        <v>0</v>
      </c>
      <c r="H82" s="2014"/>
      <c r="I82" s="2015">
        <f>J75</f>
        <v>0</v>
      </c>
      <c r="J82" s="2014"/>
      <c r="K82" s="2015">
        <f>L75</f>
        <v>0</v>
      </c>
      <c r="L82" s="2016"/>
      <c r="M82" s="2017">
        <f>O75</f>
        <v>0</v>
      </c>
      <c r="N82" s="2018"/>
      <c r="O82" s="2019"/>
    </row>
    <row r="83" spans="2:15" ht="25" customHeight="1" thickBot="1">
      <c r="B83" s="2041" t="s">
        <v>80</v>
      </c>
      <c r="C83" s="2042"/>
      <c r="D83" s="2042"/>
      <c r="E83" s="2042"/>
      <c r="F83" s="2043"/>
      <c r="G83" s="2044">
        <f>G81-G82</f>
        <v>0</v>
      </c>
      <c r="H83" s="2002"/>
      <c r="I83" s="2030">
        <f>I81-I82</f>
        <v>0</v>
      </c>
      <c r="J83" s="2002"/>
      <c r="K83" s="2030">
        <f>K81-K82</f>
        <v>0</v>
      </c>
      <c r="L83" s="2031"/>
      <c r="M83" s="2032">
        <f>M81-M82</f>
        <v>0</v>
      </c>
      <c r="N83" s="2033"/>
      <c r="O83" s="2003"/>
    </row>
    <row r="84" spans="2:15" ht="25" customHeight="1" thickBot="1">
      <c r="B84" s="2034" t="s">
        <v>160</v>
      </c>
      <c r="C84" s="2035"/>
      <c r="D84" s="2035"/>
      <c r="E84" s="2035"/>
      <c r="F84" s="2036"/>
      <c r="G84" s="115"/>
      <c r="H84" s="115"/>
      <c r="I84" s="2037">
        <f>MAX(G83:L83)</f>
        <v>0</v>
      </c>
      <c r="J84" s="2038"/>
      <c r="K84" s="115"/>
      <c r="L84" s="115"/>
      <c r="M84" s="2039">
        <f>M83</f>
        <v>0</v>
      </c>
      <c r="N84" s="2037"/>
      <c r="O84" s="2040"/>
    </row>
  </sheetData>
  <mergeCells count="72">
    <mergeCell ref="K83:L83"/>
    <mergeCell ref="M83:O83"/>
    <mergeCell ref="B84:F84"/>
    <mergeCell ref="I84:J84"/>
    <mergeCell ref="M84:O84"/>
    <mergeCell ref="B83:F83"/>
    <mergeCell ref="G83:H83"/>
    <mergeCell ref="I83:J83"/>
    <mergeCell ref="B81:F81"/>
    <mergeCell ref="G81:H81"/>
    <mergeCell ref="I81:J81"/>
    <mergeCell ref="K81:L81"/>
    <mergeCell ref="M81:O81"/>
    <mergeCell ref="B82:F82"/>
    <mergeCell ref="G82:H82"/>
    <mergeCell ref="I82:J82"/>
    <mergeCell ref="K82:L82"/>
    <mergeCell ref="M82:O82"/>
    <mergeCell ref="B74:D74"/>
    <mergeCell ref="B75:E75"/>
    <mergeCell ref="B78:O78"/>
    <mergeCell ref="B79:F80"/>
    <mergeCell ref="G79:L79"/>
    <mergeCell ref="M79:O80"/>
    <mergeCell ref="G62:L62"/>
    <mergeCell ref="D63:D65"/>
    <mergeCell ref="E63:E64"/>
    <mergeCell ref="F63:F64"/>
    <mergeCell ref="B66:B73"/>
    <mergeCell ref="C66:C73"/>
    <mergeCell ref="B44:B60"/>
    <mergeCell ref="C45:C52"/>
    <mergeCell ref="C53:C60"/>
    <mergeCell ref="B61:D61"/>
    <mergeCell ref="B62:C65"/>
    <mergeCell ref="D62:F62"/>
    <mergeCell ref="B40:C43"/>
    <mergeCell ref="D40:F40"/>
    <mergeCell ref="G40:L40"/>
    <mergeCell ref="M40:O40"/>
    <mergeCell ref="D41:D43"/>
    <mergeCell ref="E41:E42"/>
    <mergeCell ref="F41:F42"/>
    <mergeCell ref="M41:M42"/>
    <mergeCell ref="N41:N42"/>
    <mergeCell ref="O41:O42"/>
    <mergeCell ref="B39:O39"/>
    <mergeCell ref="O4:O5"/>
    <mergeCell ref="B7:B23"/>
    <mergeCell ref="C8:C15"/>
    <mergeCell ref="C16:C23"/>
    <mergeCell ref="B24:D24"/>
    <mergeCell ref="B25:C28"/>
    <mergeCell ref="D25:F25"/>
    <mergeCell ref="G25:L25"/>
    <mergeCell ref="D26:D28"/>
    <mergeCell ref="E26:E27"/>
    <mergeCell ref="F26:F27"/>
    <mergeCell ref="B29:B36"/>
    <mergeCell ref="C29:C36"/>
    <mergeCell ref="B37:D37"/>
    <mergeCell ref="B38:E38"/>
    <mergeCell ref="B2:O2"/>
    <mergeCell ref="B3:C6"/>
    <mergeCell ref="D3:F3"/>
    <mergeCell ref="G3:L3"/>
    <mergeCell ref="M3:O3"/>
    <mergeCell ref="D4:D6"/>
    <mergeCell ref="E4:E5"/>
    <mergeCell ref="F4:F5"/>
    <mergeCell ref="M4:M5"/>
    <mergeCell ref="N4:N5"/>
  </mergeCells>
  <phoneticPr fontId="2"/>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78"/>
  <sheetViews>
    <sheetView workbookViewId="0">
      <selection activeCell="C67" sqref="C67"/>
    </sheetView>
  </sheetViews>
  <sheetFormatPr defaultColWidth="9" defaultRowHeight="13"/>
  <cols>
    <col min="1" max="1" width="2.90625" style="1" customWidth="1"/>
    <col min="2" max="2" width="5.08984375" style="1" customWidth="1"/>
    <col min="3" max="3" width="17.6328125" style="1" bestFit="1" customWidth="1"/>
    <col min="4" max="4" width="9" style="1" bestFit="1" customWidth="1"/>
    <col min="5" max="5" width="9" style="1"/>
    <col min="6" max="6" width="7.453125" style="1" bestFit="1" customWidth="1"/>
    <col min="7" max="7" width="10" style="1" customWidth="1"/>
    <col min="8" max="10" width="9" style="1"/>
    <col min="11" max="11" width="18.36328125" style="1" customWidth="1"/>
    <col min="12" max="16384" width="9" style="1"/>
  </cols>
  <sheetData>
    <row r="1" spans="1:9">
      <c r="B1" s="1" t="s">
        <v>397</v>
      </c>
    </row>
    <row r="2" spans="1:9">
      <c r="A2" s="1">
        <v>1</v>
      </c>
      <c r="B2" s="1" t="s">
        <v>206</v>
      </c>
      <c r="C2" s="1" t="s">
        <v>392</v>
      </c>
    </row>
    <row r="3" spans="1:9">
      <c r="C3" s="2045" t="s">
        <v>219</v>
      </c>
      <c r="D3" s="21" t="s">
        <v>208</v>
      </c>
      <c r="E3" s="21" t="s">
        <v>207</v>
      </c>
      <c r="F3" s="21" t="s">
        <v>210</v>
      </c>
      <c r="G3" s="21" t="s">
        <v>214</v>
      </c>
      <c r="H3" s="21" t="s">
        <v>218</v>
      </c>
    </row>
    <row r="4" spans="1:9">
      <c r="C4" s="2045"/>
      <c r="D4" s="21" t="s">
        <v>213</v>
      </c>
      <c r="E4" s="21" t="s">
        <v>212</v>
      </c>
      <c r="F4" s="21" t="s">
        <v>211</v>
      </c>
      <c r="G4" s="21" t="s">
        <v>215</v>
      </c>
      <c r="H4" s="21" t="s">
        <v>213</v>
      </c>
    </row>
    <row r="5" spans="1:9">
      <c r="C5" s="89" t="s">
        <v>209</v>
      </c>
      <c r="D5" s="89">
        <v>24</v>
      </c>
      <c r="E5" s="146"/>
      <c r="F5" s="146"/>
      <c r="G5" s="252">
        <f>1/D5</f>
        <v>4.1666666666666664E-2</v>
      </c>
      <c r="H5" s="146"/>
    </row>
    <row r="6" spans="1:9">
      <c r="C6" s="89" t="s">
        <v>389</v>
      </c>
      <c r="D6" s="146"/>
      <c r="E6" s="89">
        <v>45</v>
      </c>
      <c r="F6" s="89">
        <v>8.0000000000000004E-4</v>
      </c>
      <c r="G6" s="252">
        <f>F6/E6</f>
        <v>1.777777777777778E-5</v>
      </c>
      <c r="H6" s="146"/>
    </row>
    <row r="7" spans="1:9">
      <c r="C7" s="89" t="s">
        <v>391</v>
      </c>
      <c r="D7" s="146"/>
      <c r="E7" s="89">
        <v>3.5000000000000003E-2</v>
      </c>
      <c r="F7" s="253">
        <v>4.0000000000000001E-3</v>
      </c>
      <c r="G7" s="252">
        <f>F7/E7</f>
        <v>0.11428571428571428</v>
      </c>
      <c r="H7" s="146"/>
      <c r="I7" s="1" t="s">
        <v>390</v>
      </c>
    </row>
    <row r="8" spans="1:9">
      <c r="C8" s="89" t="s">
        <v>216</v>
      </c>
      <c r="D8" s="89">
        <v>10</v>
      </c>
      <c r="E8" s="146"/>
      <c r="F8" s="146"/>
      <c r="G8" s="252">
        <f>1/D8</f>
        <v>0.1</v>
      </c>
      <c r="H8" s="146"/>
    </row>
    <row r="9" spans="1:9">
      <c r="C9" s="21" t="s">
        <v>217</v>
      </c>
      <c r="D9" s="146"/>
      <c r="E9" s="146"/>
      <c r="F9" s="89">
        <f>SUM(F5:F8)</f>
        <v>4.8000000000000004E-3</v>
      </c>
      <c r="G9" s="252">
        <f>SUM(G5:G8)</f>
        <v>0.25597015873015871</v>
      </c>
      <c r="H9" s="254">
        <f>ROUND(1/G9,2)</f>
        <v>3.91</v>
      </c>
    </row>
    <row r="51" spans="3:8">
      <c r="C51" s="1" t="s">
        <v>396</v>
      </c>
    </row>
    <row r="52" spans="3:8">
      <c r="C52" s="1130" t="s">
        <v>81</v>
      </c>
      <c r="D52" s="4" t="s">
        <v>208</v>
      </c>
      <c r="E52" s="4" t="s">
        <v>207</v>
      </c>
      <c r="F52" s="4" t="s">
        <v>210</v>
      </c>
      <c r="G52" s="4" t="s">
        <v>214</v>
      </c>
      <c r="H52" s="4" t="s">
        <v>52</v>
      </c>
    </row>
    <row r="53" spans="3:8">
      <c r="C53" s="1130"/>
      <c r="D53" s="4" t="s">
        <v>57</v>
      </c>
      <c r="E53" s="4" t="s">
        <v>212</v>
      </c>
      <c r="F53" s="4" t="s">
        <v>211</v>
      </c>
      <c r="G53" s="4" t="s">
        <v>215</v>
      </c>
      <c r="H53" s="4" t="s">
        <v>57</v>
      </c>
    </row>
    <row r="54" spans="3:8">
      <c r="C54" s="2" t="s">
        <v>209</v>
      </c>
      <c r="D54" s="2">
        <v>24</v>
      </c>
      <c r="E54" s="3"/>
      <c r="F54" s="3"/>
      <c r="G54" s="159">
        <f>1/D54</f>
        <v>4.1666666666666664E-2</v>
      </c>
      <c r="H54" s="3"/>
    </row>
    <row r="55" spans="3:8">
      <c r="C55" s="2" t="s">
        <v>222</v>
      </c>
      <c r="D55" s="3"/>
      <c r="E55" s="2">
        <v>1.4</v>
      </c>
      <c r="F55" s="160">
        <v>0.03</v>
      </c>
      <c r="G55" s="159">
        <f t="shared" ref="G55" si="0">F55/E55</f>
        <v>2.1428571428571429E-2</v>
      </c>
      <c r="H55" s="3"/>
    </row>
    <row r="56" spans="3:8">
      <c r="C56" s="2" t="s">
        <v>393</v>
      </c>
      <c r="D56" s="3"/>
      <c r="E56" s="2">
        <v>1.6</v>
      </c>
      <c r="F56" s="160">
        <v>0.06</v>
      </c>
      <c r="G56" s="159">
        <f t="shared" ref="G56:G58" si="1">F56/E56</f>
        <v>3.7499999999999999E-2</v>
      </c>
      <c r="H56" s="3"/>
    </row>
    <row r="57" spans="3:8">
      <c r="C57" s="2" t="s">
        <v>222</v>
      </c>
      <c r="D57" s="3"/>
      <c r="E57" s="2">
        <v>1.4</v>
      </c>
      <c r="F57" s="160">
        <v>0.03</v>
      </c>
      <c r="G57" s="159">
        <f t="shared" si="1"/>
        <v>2.1428571428571429E-2</v>
      </c>
      <c r="H57" s="3"/>
    </row>
    <row r="58" spans="3:8">
      <c r="C58" s="2" t="s">
        <v>394</v>
      </c>
      <c r="D58" s="3"/>
      <c r="E58" s="2">
        <v>0.74</v>
      </c>
      <c r="F58" s="160">
        <v>2E-3</v>
      </c>
      <c r="G58" s="159">
        <f t="shared" si="1"/>
        <v>2.7027027027027029E-3</v>
      </c>
      <c r="H58" s="3"/>
    </row>
    <row r="59" spans="3:8">
      <c r="C59" s="2" t="s">
        <v>223</v>
      </c>
      <c r="D59" s="3"/>
      <c r="E59" s="2">
        <v>1.6</v>
      </c>
      <c r="F59" s="160">
        <v>0.12</v>
      </c>
      <c r="G59" s="159">
        <f>F59/E59</f>
        <v>7.4999999999999997E-2</v>
      </c>
      <c r="H59" s="3"/>
    </row>
    <row r="60" spans="3:8">
      <c r="C60" s="2" t="s">
        <v>395</v>
      </c>
      <c r="D60" s="3"/>
      <c r="E60" s="2">
        <v>0.14000000000000001</v>
      </c>
      <c r="F60" s="2">
        <v>8.0000000000000002E-3</v>
      </c>
      <c r="G60" s="159">
        <f>F60/E60</f>
        <v>5.7142857142857141E-2</v>
      </c>
      <c r="H60" s="3"/>
    </row>
    <row r="61" spans="3:8">
      <c r="C61" s="2" t="s">
        <v>216</v>
      </c>
      <c r="D61" s="2">
        <v>10</v>
      </c>
      <c r="E61" s="3"/>
      <c r="F61" s="3"/>
      <c r="G61" s="159">
        <f>1/D61</f>
        <v>0.1</v>
      </c>
      <c r="H61" s="3"/>
    </row>
    <row r="62" spans="3:8">
      <c r="C62" s="4" t="s">
        <v>1</v>
      </c>
      <c r="D62" s="3"/>
      <c r="E62" s="3"/>
      <c r="F62" s="2">
        <f>SUM(F54:F61)</f>
        <v>0.25</v>
      </c>
      <c r="G62" s="159">
        <f>SUM(G54:G61)</f>
        <v>0.35686936936936942</v>
      </c>
      <c r="H62" s="12">
        <f>ROUND(1/G62,2)</f>
        <v>2.8</v>
      </c>
    </row>
    <row r="67" spans="1:8">
      <c r="A67" s="1">
        <v>2</v>
      </c>
      <c r="B67" s="1" t="s">
        <v>220</v>
      </c>
    </row>
    <row r="70" spans="1:8">
      <c r="C70" s="1130" t="s">
        <v>219</v>
      </c>
      <c r="D70" s="4" t="s">
        <v>208</v>
      </c>
      <c r="E70" s="4" t="s">
        <v>207</v>
      </c>
      <c r="F70" s="4" t="s">
        <v>210</v>
      </c>
      <c r="G70" s="4" t="s">
        <v>214</v>
      </c>
      <c r="H70" s="4" t="s">
        <v>218</v>
      </c>
    </row>
    <row r="71" spans="1:8">
      <c r="C71" s="1130"/>
      <c r="D71" s="4" t="s">
        <v>213</v>
      </c>
      <c r="E71" s="4" t="s">
        <v>212</v>
      </c>
      <c r="F71" s="4" t="s">
        <v>211</v>
      </c>
      <c r="G71" s="4" t="s">
        <v>215</v>
      </c>
      <c r="H71" s="4" t="s">
        <v>213</v>
      </c>
    </row>
    <row r="72" spans="1:8">
      <c r="C72" s="2" t="s">
        <v>209</v>
      </c>
      <c r="D72" s="2">
        <v>23</v>
      </c>
      <c r="E72" s="3"/>
      <c r="F72" s="3"/>
      <c r="G72" s="159">
        <f>1/D72</f>
        <v>4.3478260869565216E-2</v>
      </c>
      <c r="H72" s="3"/>
    </row>
    <row r="73" spans="1:8">
      <c r="C73" s="2" t="s">
        <v>221</v>
      </c>
      <c r="D73" s="3"/>
      <c r="E73" s="2">
        <v>1.3</v>
      </c>
      <c r="F73" s="2">
        <v>8.0000000000000002E-3</v>
      </c>
      <c r="G73" s="159">
        <f>F73/E73</f>
        <v>6.1538461538461538E-3</v>
      </c>
      <c r="H73" s="3"/>
    </row>
    <row r="74" spans="1:8">
      <c r="C74" s="2" t="s">
        <v>222</v>
      </c>
      <c r="D74" s="3"/>
      <c r="E74" s="2">
        <v>1.5</v>
      </c>
      <c r="F74" s="160">
        <v>0.02</v>
      </c>
      <c r="G74" s="159">
        <f t="shared" ref="G74:G76" si="2">F74/E74</f>
        <v>1.3333333333333334E-2</v>
      </c>
      <c r="H74" s="3"/>
    </row>
    <row r="75" spans="1:8">
      <c r="C75" s="2" t="s">
        <v>223</v>
      </c>
      <c r="D75" s="3"/>
      <c r="E75" s="2">
        <v>1.4</v>
      </c>
      <c r="F75" s="160">
        <v>0.15</v>
      </c>
      <c r="G75" s="159">
        <f t="shared" si="2"/>
        <v>0.10714285714285715</v>
      </c>
      <c r="H75" s="3"/>
    </row>
    <row r="76" spans="1:8">
      <c r="C76" s="2" t="s">
        <v>224</v>
      </c>
      <c r="D76" s="3"/>
      <c r="E76" s="2">
        <v>4.3999999999999997E-2</v>
      </c>
      <c r="F76" s="2">
        <v>2.5000000000000001E-2</v>
      </c>
      <c r="G76" s="159">
        <f t="shared" si="2"/>
        <v>0.56818181818181823</v>
      </c>
      <c r="H76" s="3"/>
    </row>
    <row r="77" spans="1:8">
      <c r="C77" s="2" t="s">
        <v>216</v>
      </c>
      <c r="D77" s="2">
        <v>9</v>
      </c>
      <c r="E77" s="3"/>
      <c r="F77" s="3"/>
      <c r="G77" s="159">
        <f>1/D77</f>
        <v>0.1111111111111111</v>
      </c>
      <c r="H77" s="3"/>
    </row>
    <row r="78" spans="1:8">
      <c r="C78" s="4" t="s">
        <v>217</v>
      </c>
      <c r="D78" s="3"/>
      <c r="E78" s="3"/>
      <c r="F78" s="2">
        <f>SUM(F72:F77)</f>
        <v>0.20299999999999999</v>
      </c>
      <c r="G78" s="159">
        <f>SUM(G72:G77)</f>
        <v>0.84940122679253127</v>
      </c>
      <c r="H78" s="12">
        <f>ROUND(1/G78,2)</f>
        <v>1.18</v>
      </c>
    </row>
  </sheetData>
  <mergeCells count="3">
    <mergeCell ref="C3:C4"/>
    <mergeCell ref="C70:C71"/>
    <mergeCell ref="C52:C53"/>
  </mergeCells>
  <phoneticPr fontId="2"/>
  <pageMargins left="0.70866141732283472" right="0.31496062992125984" top="0.35433070866141736" bottom="0.35433070866141736"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sheetPr>
  <dimension ref="A3:AB141"/>
  <sheetViews>
    <sheetView topLeftCell="C61" workbookViewId="0">
      <selection activeCell="C67" sqref="C67"/>
    </sheetView>
  </sheetViews>
  <sheetFormatPr defaultColWidth="9" defaultRowHeight="13"/>
  <cols>
    <col min="1" max="1" width="3.26953125" style="88" customWidth="1"/>
    <col min="2" max="2" width="13.36328125" style="88" bestFit="1" customWidth="1"/>
    <col min="3" max="3" width="9" style="88"/>
    <col min="4" max="26" width="4.6328125" style="88" customWidth="1"/>
    <col min="27" max="27" width="1.36328125" style="88" customWidth="1"/>
    <col min="28" max="28" width="9" style="88"/>
    <col min="29" max="16384" width="9" style="1"/>
  </cols>
  <sheetData>
    <row r="3" spans="2:27">
      <c r="B3" s="249" t="s">
        <v>362</v>
      </c>
    </row>
    <row r="4" spans="2:27">
      <c r="B4" s="2048" t="s">
        <v>138</v>
      </c>
      <c r="C4" s="2048" t="s">
        <v>50</v>
      </c>
      <c r="D4" s="2048" t="s">
        <v>139</v>
      </c>
      <c r="E4" s="2048"/>
      <c r="F4" s="2048"/>
      <c r="G4" s="2048"/>
      <c r="H4" s="2048"/>
      <c r="I4" s="2048"/>
      <c r="J4" s="2048"/>
      <c r="K4" s="2048"/>
      <c r="L4" s="2048"/>
      <c r="M4" s="2048"/>
      <c r="N4" s="2048"/>
      <c r="O4" s="2048"/>
      <c r="P4" s="2048"/>
      <c r="Q4" s="2048"/>
      <c r="R4" s="2048"/>
      <c r="S4" s="2048"/>
      <c r="T4" s="2048"/>
      <c r="U4" s="2048"/>
      <c r="V4" s="2048"/>
      <c r="W4" s="2048"/>
      <c r="X4" s="2048"/>
      <c r="Y4" s="2048"/>
      <c r="Z4" s="2048"/>
      <c r="AA4" s="2048"/>
    </row>
    <row r="5" spans="2:27">
      <c r="B5" s="2048"/>
      <c r="C5" s="2048"/>
      <c r="D5" s="146">
        <v>1</v>
      </c>
      <c r="E5" s="146">
        <v>2</v>
      </c>
      <c r="F5" s="146">
        <v>3</v>
      </c>
      <c r="G5" s="146">
        <v>4</v>
      </c>
      <c r="H5" s="89">
        <v>5</v>
      </c>
      <c r="I5" s="89">
        <v>6</v>
      </c>
      <c r="J5" s="89">
        <v>7</v>
      </c>
      <c r="K5" s="89">
        <v>8</v>
      </c>
      <c r="L5" s="89">
        <v>9</v>
      </c>
      <c r="M5" s="89">
        <v>10</v>
      </c>
      <c r="N5" s="89">
        <v>11</v>
      </c>
      <c r="O5" s="89">
        <v>12</v>
      </c>
      <c r="P5" s="89">
        <v>13</v>
      </c>
      <c r="Q5" s="89">
        <v>14</v>
      </c>
      <c r="R5" s="89">
        <v>15</v>
      </c>
      <c r="S5" s="89">
        <v>16</v>
      </c>
      <c r="T5" s="89">
        <v>17</v>
      </c>
      <c r="U5" s="89">
        <v>18</v>
      </c>
      <c r="V5" s="89">
        <v>19</v>
      </c>
      <c r="W5" s="89">
        <v>20</v>
      </c>
      <c r="X5" s="89">
        <v>21</v>
      </c>
      <c r="Y5" s="146">
        <v>22</v>
      </c>
      <c r="Z5" s="146">
        <v>23</v>
      </c>
      <c r="AA5" s="146">
        <v>24</v>
      </c>
    </row>
    <row r="6" spans="2:27" ht="13.5" thickBot="1">
      <c r="B6" s="2048" t="s">
        <v>188</v>
      </c>
      <c r="C6" s="179" t="s">
        <v>140</v>
      </c>
      <c r="D6" s="180">
        <v>0</v>
      </c>
      <c r="E6" s="180">
        <v>0</v>
      </c>
      <c r="F6" s="180">
        <v>0</v>
      </c>
      <c r="G6" s="180">
        <v>0</v>
      </c>
      <c r="H6" s="179">
        <v>2</v>
      </c>
      <c r="I6" s="179">
        <v>2</v>
      </c>
      <c r="J6" s="179">
        <v>2</v>
      </c>
      <c r="K6" s="179">
        <v>2</v>
      </c>
      <c r="L6" s="179">
        <v>2</v>
      </c>
      <c r="M6" s="179">
        <v>2</v>
      </c>
      <c r="N6" s="179">
        <v>3</v>
      </c>
      <c r="O6" s="179">
        <v>3</v>
      </c>
      <c r="P6" s="179">
        <v>4</v>
      </c>
      <c r="Q6" s="179">
        <v>4</v>
      </c>
      <c r="R6" s="179">
        <v>5</v>
      </c>
      <c r="S6" s="179">
        <v>5</v>
      </c>
      <c r="T6" s="179">
        <v>6</v>
      </c>
      <c r="U6" s="179">
        <v>6</v>
      </c>
      <c r="V6" s="179">
        <v>6</v>
      </c>
      <c r="W6" s="179">
        <v>5</v>
      </c>
      <c r="X6" s="179">
        <v>5</v>
      </c>
      <c r="Y6" s="180">
        <v>0</v>
      </c>
      <c r="Z6" s="180">
        <v>0</v>
      </c>
      <c r="AA6" s="180">
        <v>0</v>
      </c>
    </row>
    <row r="7" spans="2:27" ht="13.5" thickBot="1">
      <c r="B7" s="2050"/>
      <c r="C7" s="191" t="s">
        <v>141</v>
      </c>
      <c r="D7" s="192">
        <v>0</v>
      </c>
      <c r="E7" s="192">
        <v>0</v>
      </c>
      <c r="F7" s="192">
        <v>0</v>
      </c>
      <c r="G7" s="192">
        <v>0</v>
      </c>
      <c r="H7" s="210">
        <v>5</v>
      </c>
      <c r="I7" s="210">
        <v>4</v>
      </c>
      <c r="J7" s="210">
        <v>5</v>
      </c>
      <c r="K7" s="210">
        <v>6</v>
      </c>
      <c r="L7" s="210">
        <v>8</v>
      </c>
      <c r="M7" s="210">
        <v>10</v>
      </c>
      <c r="N7" s="210">
        <v>13</v>
      </c>
      <c r="O7" s="210">
        <v>17</v>
      </c>
      <c r="P7" s="210">
        <v>20</v>
      </c>
      <c r="Q7" s="210">
        <v>22</v>
      </c>
      <c r="R7" s="210">
        <v>24</v>
      </c>
      <c r="S7" s="210">
        <v>25</v>
      </c>
      <c r="T7" s="210">
        <v>25</v>
      </c>
      <c r="U7" s="210">
        <v>24</v>
      </c>
      <c r="V7" s="210">
        <v>22</v>
      </c>
      <c r="W7" s="210">
        <v>20</v>
      </c>
      <c r="X7" s="210">
        <v>17</v>
      </c>
      <c r="Y7" s="192">
        <v>0</v>
      </c>
      <c r="Z7" s="192">
        <v>0</v>
      </c>
      <c r="AA7" s="197">
        <v>0</v>
      </c>
    </row>
    <row r="8" spans="2:27">
      <c r="B8" s="2048"/>
      <c r="C8" s="185" t="s">
        <v>142</v>
      </c>
      <c r="D8" s="186">
        <v>0</v>
      </c>
      <c r="E8" s="186">
        <v>0</v>
      </c>
      <c r="F8" s="186">
        <v>0</v>
      </c>
      <c r="G8" s="186">
        <v>0</v>
      </c>
      <c r="H8" s="185">
        <v>3</v>
      </c>
      <c r="I8" s="185">
        <v>3</v>
      </c>
      <c r="J8" s="185">
        <v>3</v>
      </c>
      <c r="K8" s="185">
        <v>3</v>
      </c>
      <c r="L8" s="185">
        <v>4</v>
      </c>
      <c r="M8" s="185">
        <v>4</v>
      </c>
      <c r="N8" s="185">
        <v>4</v>
      </c>
      <c r="O8" s="185">
        <v>5</v>
      </c>
      <c r="P8" s="185">
        <v>6</v>
      </c>
      <c r="Q8" s="185">
        <v>6</v>
      </c>
      <c r="R8" s="185">
        <v>7</v>
      </c>
      <c r="S8" s="185">
        <v>7</v>
      </c>
      <c r="T8" s="185">
        <v>7</v>
      </c>
      <c r="U8" s="185">
        <v>8</v>
      </c>
      <c r="V8" s="185">
        <v>8</v>
      </c>
      <c r="W8" s="185">
        <v>8</v>
      </c>
      <c r="X8" s="185">
        <v>7</v>
      </c>
      <c r="Y8" s="186">
        <v>0</v>
      </c>
      <c r="Z8" s="186">
        <v>0</v>
      </c>
      <c r="AA8" s="186">
        <v>0</v>
      </c>
    </row>
    <row r="9" spans="2:27">
      <c r="B9" s="2048"/>
      <c r="C9" s="89" t="s">
        <v>143</v>
      </c>
      <c r="D9" s="146">
        <v>0</v>
      </c>
      <c r="E9" s="146">
        <v>0</v>
      </c>
      <c r="F9" s="146">
        <v>0</v>
      </c>
      <c r="G9" s="146">
        <v>0</v>
      </c>
      <c r="H9" s="89">
        <v>3</v>
      </c>
      <c r="I9" s="89">
        <v>3</v>
      </c>
      <c r="J9" s="89">
        <v>4</v>
      </c>
      <c r="K9" s="89">
        <v>6</v>
      </c>
      <c r="L9" s="89">
        <v>8</v>
      </c>
      <c r="M9" s="89">
        <v>9</v>
      </c>
      <c r="N9" s="89">
        <v>10</v>
      </c>
      <c r="O9" s="89">
        <v>10</v>
      </c>
      <c r="P9" s="89">
        <v>10</v>
      </c>
      <c r="Q9" s="89">
        <v>10</v>
      </c>
      <c r="R9" s="89">
        <v>10</v>
      </c>
      <c r="S9" s="89">
        <v>9</v>
      </c>
      <c r="T9" s="89">
        <v>9</v>
      </c>
      <c r="U9" s="89">
        <v>9</v>
      </c>
      <c r="V9" s="89">
        <v>8</v>
      </c>
      <c r="W9" s="89">
        <v>8</v>
      </c>
      <c r="X9" s="89">
        <v>7</v>
      </c>
      <c r="Y9" s="146">
        <v>0</v>
      </c>
      <c r="Z9" s="146">
        <v>0</v>
      </c>
      <c r="AA9" s="146">
        <v>0</v>
      </c>
    </row>
    <row r="10" spans="2:27">
      <c r="B10" s="2048"/>
      <c r="C10" s="89" t="s">
        <v>144</v>
      </c>
      <c r="D10" s="146">
        <v>0</v>
      </c>
      <c r="E10" s="146">
        <v>0</v>
      </c>
      <c r="F10" s="146">
        <v>0</v>
      </c>
      <c r="G10" s="146">
        <v>0</v>
      </c>
      <c r="H10" s="89">
        <v>3</v>
      </c>
      <c r="I10" s="89">
        <v>3</v>
      </c>
      <c r="J10" s="89">
        <v>4</v>
      </c>
      <c r="K10" s="89">
        <v>7</v>
      </c>
      <c r="L10" s="89">
        <v>9</v>
      </c>
      <c r="M10" s="89">
        <v>11</v>
      </c>
      <c r="N10" s="89">
        <v>13</v>
      </c>
      <c r="O10" s="89">
        <v>13</v>
      </c>
      <c r="P10" s="89">
        <v>13</v>
      </c>
      <c r="Q10" s="89">
        <v>13</v>
      </c>
      <c r="R10" s="89">
        <v>12</v>
      </c>
      <c r="S10" s="89">
        <v>12</v>
      </c>
      <c r="T10" s="89">
        <v>11</v>
      </c>
      <c r="U10" s="89">
        <v>10</v>
      </c>
      <c r="V10" s="89">
        <v>10</v>
      </c>
      <c r="W10" s="89">
        <v>9</v>
      </c>
      <c r="X10" s="89">
        <v>8</v>
      </c>
      <c r="Y10" s="146">
        <v>0</v>
      </c>
      <c r="Z10" s="146">
        <v>0</v>
      </c>
      <c r="AA10" s="146">
        <v>0</v>
      </c>
    </row>
    <row r="11" spans="2:27">
      <c r="B11" s="2048"/>
      <c r="C11" s="89" t="s">
        <v>145</v>
      </c>
      <c r="D11" s="146">
        <v>0</v>
      </c>
      <c r="E11" s="146">
        <v>0</v>
      </c>
      <c r="F11" s="146">
        <v>0</v>
      </c>
      <c r="G11" s="146">
        <v>0</v>
      </c>
      <c r="H11" s="89">
        <v>3</v>
      </c>
      <c r="I11" s="89">
        <v>3</v>
      </c>
      <c r="J11" s="89">
        <v>4</v>
      </c>
      <c r="K11" s="89">
        <v>5</v>
      </c>
      <c r="L11" s="89">
        <v>7</v>
      </c>
      <c r="M11" s="89">
        <v>9</v>
      </c>
      <c r="N11" s="89">
        <v>10</v>
      </c>
      <c r="O11" s="89">
        <v>12</v>
      </c>
      <c r="P11" s="89">
        <v>12</v>
      </c>
      <c r="Q11" s="89">
        <v>12</v>
      </c>
      <c r="R11" s="89">
        <v>12</v>
      </c>
      <c r="S11" s="89">
        <v>11</v>
      </c>
      <c r="T11" s="89">
        <v>11</v>
      </c>
      <c r="U11" s="89">
        <v>10</v>
      </c>
      <c r="V11" s="89">
        <v>9</v>
      </c>
      <c r="W11" s="89">
        <v>9</v>
      </c>
      <c r="X11" s="89">
        <v>8</v>
      </c>
      <c r="Y11" s="146">
        <v>0</v>
      </c>
      <c r="Z11" s="146">
        <v>0</v>
      </c>
      <c r="AA11" s="146">
        <v>0</v>
      </c>
    </row>
    <row r="12" spans="2:27">
      <c r="B12" s="2048"/>
      <c r="C12" s="89" t="s">
        <v>146</v>
      </c>
      <c r="D12" s="146">
        <v>0</v>
      </c>
      <c r="E12" s="146">
        <v>0</v>
      </c>
      <c r="F12" s="146">
        <v>0</v>
      </c>
      <c r="G12" s="146">
        <v>0</v>
      </c>
      <c r="H12" s="89">
        <v>3</v>
      </c>
      <c r="I12" s="89">
        <v>3</v>
      </c>
      <c r="J12" s="89">
        <v>2</v>
      </c>
      <c r="K12" s="89">
        <v>3</v>
      </c>
      <c r="L12" s="89">
        <v>3</v>
      </c>
      <c r="M12" s="89">
        <v>4</v>
      </c>
      <c r="N12" s="89">
        <v>5</v>
      </c>
      <c r="O12" s="89">
        <v>6</v>
      </c>
      <c r="P12" s="89">
        <v>8</v>
      </c>
      <c r="Q12" s="89">
        <v>9</v>
      </c>
      <c r="R12" s="89">
        <v>10</v>
      </c>
      <c r="S12" s="89">
        <v>10</v>
      </c>
      <c r="T12" s="89">
        <v>10</v>
      </c>
      <c r="U12" s="89">
        <v>10</v>
      </c>
      <c r="V12" s="89">
        <v>9</v>
      </c>
      <c r="W12" s="89">
        <v>8</v>
      </c>
      <c r="X12" s="89">
        <v>8</v>
      </c>
      <c r="Y12" s="146">
        <v>0</v>
      </c>
      <c r="Z12" s="146">
        <v>0</v>
      </c>
      <c r="AA12" s="146">
        <v>0</v>
      </c>
    </row>
    <row r="13" spans="2:27">
      <c r="B13" s="2048"/>
      <c r="C13" s="89" t="s">
        <v>147</v>
      </c>
      <c r="D13" s="146">
        <v>0</v>
      </c>
      <c r="E13" s="146">
        <v>0</v>
      </c>
      <c r="F13" s="146">
        <v>0</v>
      </c>
      <c r="G13" s="146">
        <v>0</v>
      </c>
      <c r="H13" s="89">
        <v>4</v>
      </c>
      <c r="I13" s="89">
        <v>3</v>
      </c>
      <c r="J13" s="89">
        <v>3</v>
      </c>
      <c r="K13" s="89">
        <v>3</v>
      </c>
      <c r="L13" s="89">
        <v>3</v>
      </c>
      <c r="M13" s="89">
        <v>4</v>
      </c>
      <c r="N13" s="89">
        <v>4</v>
      </c>
      <c r="O13" s="89">
        <v>5</v>
      </c>
      <c r="P13" s="89">
        <v>6</v>
      </c>
      <c r="Q13" s="89">
        <v>8</v>
      </c>
      <c r="R13" s="89">
        <v>10</v>
      </c>
      <c r="S13" s="89">
        <v>12</v>
      </c>
      <c r="T13" s="89">
        <v>13</v>
      </c>
      <c r="U13" s="89">
        <v>14</v>
      </c>
      <c r="V13" s="89">
        <v>14</v>
      </c>
      <c r="W13" s="89">
        <v>13</v>
      </c>
      <c r="X13" s="89">
        <v>12</v>
      </c>
      <c r="Y13" s="146">
        <v>0</v>
      </c>
      <c r="Z13" s="146">
        <v>0</v>
      </c>
      <c r="AA13" s="146">
        <v>0</v>
      </c>
    </row>
    <row r="14" spans="2:27">
      <c r="B14" s="2048"/>
      <c r="C14" s="89" t="s">
        <v>148</v>
      </c>
      <c r="D14" s="146">
        <v>0</v>
      </c>
      <c r="E14" s="146">
        <v>0</v>
      </c>
      <c r="F14" s="146">
        <v>0</v>
      </c>
      <c r="G14" s="146">
        <v>0</v>
      </c>
      <c r="H14" s="89">
        <v>4</v>
      </c>
      <c r="I14" s="89">
        <v>4</v>
      </c>
      <c r="J14" s="89">
        <v>3</v>
      </c>
      <c r="K14" s="89">
        <v>3</v>
      </c>
      <c r="L14" s="89">
        <v>3</v>
      </c>
      <c r="M14" s="89">
        <v>4</v>
      </c>
      <c r="N14" s="89">
        <v>4</v>
      </c>
      <c r="O14" s="89">
        <v>5</v>
      </c>
      <c r="P14" s="89">
        <v>6</v>
      </c>
      <c r="Q14" s="89">
        <v>7</v>
      </c>
      <c r="R14" s="89">
        <v>9</v>
      </c>
      <c r="S14" s="89">
        <v>12</v>
      </c>
      <c r="T14" s="89">
        <v>14</v>
      </c>
      <c r="U14" s="89">
        <v>16</v>
      </c>
      <c r="V14" s="89">
        <v>16</v>
      </c>
      <c r="W14" s="89">
        <v>16</v>
      </c>
      <c r="X14" s="89">
        <v>14</v>
      </c>
      <c r="Y14" s="146">
        <v>0</v>
      </c>
      <c r="Z14" s="146">
        <v>0</v>
      </c>
      <c r="AA14" s="146">
        <v>0</v>
      </c>
    </row>
    <row r="15" spans="2:27">
      <c r="B15" s="2048"/>
      <c r="C15" s="89" t="s">
        <v>149</v>
      </c>
      <c r="D15" s="146">
        <v>0</v>
      </c>
      <c r="E15" s="146">
        <v>0</v>
      </c>
      <c r="F15" s="146">
        <v>0</v>
      </c>
      <c r="G15" s="146">
        <v>0</v>
      </c>
      <c r="H15" s="89">
        <v>4</v>
      </c>
      <c r="I15" s="89">
        <v>3</v>
      </c>
      <c r="J15" s="89">
        <v>3</v>
      </c>
      <c r="K15" s="89">
        <v>3</v>
      </c>
      <c r="L15" s="89">
        <v>3</v>
      </c>
      <c r="M15" s="89">
        <v>4</v>
      </c>
      <c r="N15" s="89">
        <v>4</v>
      </c>
      <c r="O15" s="89">
        <v>5</v>
      </c>
      <c r="P15" s="89">
        <v>5</v>
      </c>
      <c r="Q15" s="89">
        <v>6</v>
      </c>
      <c r="R15" s="89">
        <v>7</v>
      </c>
      <c r="S15" s="89">
        <v>9</v>
      </c>
      <c r="T15" s="89">
        <v>11</v>
      </c>
      <c r="U15" s="89">
        <v>12</v>
      </c>
      <c r="V15" s="89">
        <v>13</v>
      </c>
      <c r="W15" s="89">
        <v>13</v>
      </c>
      <c r="X15" s="89">
        <v>12</v>
      </c>
      <c r="Y15" s="146">
        <v>0</v>
      </c>
      <c r="Z15" s="146">
        <v>0</v>
      </c>
      <c r="AA15" s="146">
        <v>0</v>
      </c>
    </row>
    <row r="17" spans="2:27">
      <c r="B17" s="90" t="s">
        <v>363</v>
      </c>
      <c r="C17" s="91"/>
      <c r="D17" s="91"/>
      <c r="E17" s="91"/>
      <c r="F17" s="91"/>
      <c r="G17" s="91"/>
      <c r="H17" s="91"/>
      <c r="I17" s="91"/>
      <c r="J17" s="91"/>
      <c r="K17" s="91"/>
      <c r="L17" s="91"/>
      <c r="M17" s="91"/>
      <c r="N17" s="91"/>
      <c r="O17" s="91"/>
      <c r="P17" s="91"/>
      <c r="Q17" s="91"/>
      <c r="R17" s="91"/>
      <c r="S17" s="91"/>
      <c r="T17" s="91"/>
      <c r="U17" s="91"/>
      <c r="V17" s="91"/>
      <c r="W17" s="91"/>
      <c r="X17" s="91"/>
      <c r="Y17" s="91"/>
      <c r="Z17" s="91"/>
      <c r="AA17" s="91"/>
    </row>
    <row r="18" spans="2:27" ht="13.5" thickBot="1">
      <c r="B18" s="2046" t="s">
        <v>138</v>
      </c>
      <c r="C18" s="2046" t="s">
        <v>50</v>
      </c>
      <c r="D18" s="2046" t="s">
        <v>139</v>
      </c>
      <c r="E18" s="2046"/>
      <c r="F18" s="2046"/>
      <c r="G18" s="2046"/>
      <c r="H18" s="2046"/>
      <c r="I18" s="2046"/>
      <c r="J18" s="2046"/>
      <c r="K18" s="2046"/>
      <c r="L18" s="2051"/>
      <c r="M18" s="2046"/>
      <c r="N18" s="2046"/>
      <c r="O18" s="2051"/>
      <c r="P18" s="2046"/>
      <c r="Q18" s="2046"/>
      <c r="R18" s="2051"/>
      <c r="S18" s="2046"/>
      <c r="T18" s="2046"/>
      <c r="U18" s="2046"/>
      <c r="V18" s="2046"/>
      <c r="W18" s="2046"/>
      <c r="X18" s="2046"/>
      <c r="Y18" s="2046"/>
      <c r="Z18" s="2046"/>
      <c r="AA18" s="2046"/>
    </row>
    <row r="19" spans="2:27">
      <c r="B19" s="2046"/>
      <c r="C19" s="2046"/>
      <c r="D19" s="147">
        <v>1</v>
      </c>
      <c r="E19" s="147">
        <v>2</v>
      </c>
      <c r="F19" s="147">
        <v>3</v>
      </c>
      <c r="G19" s="147">
        <v>4</v>
      </c>
      <c r="H19" s="92">
        <v>5</v>
      </c>
      <c r="I19" s="92">
        <v>6</v>
      </c>
      <c r="J19" s="92">
        <v>7</v>
      </c>
      <c r="K19" s="93">
        <v>8</v>
      </c>
      <c r="L19" s="94">
        <v>9</v>
      </c>
      <c r="M19" s="95">
        <v>10</v>
      </c>
      <c r="N19" s="93">
        <v>11</v>
      </c>
      <c r="O19" s="94">
        <v>12</v>
      </c>
      <c r="P19" s="95">
        <v>13</v>
      </c>
      <c r="Q19" s="93">
        <v>14</v>
      </c>
      <c r="R19" s="94">
        <v>15</v>
      </c>
      <c r="S19" s="95">
        <v>16</v>
      </c>
      <c r="T19" s="92">
        <v>17</v>
      </c>
      <c r="U19" s="92">
        <v>18</v>
      </c>
      <c r="V19" s="92">
        <v>19</v>
      </c>
      <c r="W19" s="92">
        <v>20</v>
      </c>
      <c r="X19" s="92">
        <v>21</v>
      </c>
      <c r="Y19" s="147">
        <v>22</v>
      </c>
      <c r="Z19" s="147">
        <v>23</v>
      </c>
      <c r="AA19" s="146">
        <v>24</v>
      </c>
    </row>
    <row r="20" spans="2:27" ht="13.5" thickBot="1">
      <c r="B20" s="2046" t="s">
        <v>189</v>
      </c>
      <c r="C20" s="198" t="s">
        <v>140</v>
      </c>
      <c r="D20" s="180">
        <v>0</v>
      </c>
      <c r="E20" s="180">
        <v>0</v>
      </c>
      <c r="F20" s="180">
        <v>0</v>
      </c>
      <c r="G20" s="180">
        <v>0</v>
      </c>
      <c r="H20" s="199">
        <f>H6+'実効温度差（ETD)諸言'!$G$38</f>
        <v>1.0999999999999979</v>
      </c>
      <c r="I20" s="199">
        <f>I6+'実効温度差（ETD)諸言'!$G$38</f>
        <v>1.0999999999999979</v>
      </c>
      <c r="J20" s="199">
        <f>J6+'実効温度差（ETD)諸言'!$G$38</f>
        <v>1.0999999999999979</v>
      </c>
      <c r="K20" s="200">
        <f>K6+'実効温度差（ETD)諸言'!$G$38</f>
        <v>1.0999999999999979</v>
      </c>
      <c r="L20" s="921">
        <f>ROUND(L6+'実効温度差（ETD)諸言'!$G$38,1)</f>
        <v>1.1000000000000001</v>
      </c>
      <c r="M20" s="201">
        <f>M6+'実効温度差（ETD)諸言'!$G$38</f>
        <v>1.0999999999999979</v>
      </c>
      <c r="N20" s="200">
        <f>N6+'実効温度差（ETD)諸言'!$G$38</f>
        <v>2.0999999999999979</v>
      </c>
      <c r="O20" s="921">
        <f>ROUND(O6+'実効温度差（ETD)諸言'!$G$38,1)</f>
        <v>2.1</v>
      </c>
      <c r="P20" s="201">
        <f>P6+'実効温度差（ETD)諸言'!$G$38</f>
        <v>3.0999999999999979</v>
      </c>
      <c r="Q20" s="200">
        <f>Q6+'実効温度差（ETD)諸言'!$G$38</f>
        <v>3.0999999999999979</v>
      </c>
      <c r="R20" s="921">
        <f>ROUND(R6+'実効温度差（ETD)諸言'!$G$38,1)</f>
        <v>4.0999999999999996</v>
      </c>
      <c r="S20" s="201">
        <f>S6+'実効温度差（ETD)諸言'!$G$38</f>
        <v>4.0999999999999979</v>
      </c>
      <c r="T20" s="199">
        <f>T6+'実効温度差（ETD)諸言'!$G$38</f>
        <v>5.0999999999999979</v>
      </c>
      <c r="U20" s="199">
        <f>U6+'実効温度差（ETD)諸言'!$G$38</f>
        <v>5.0999999999999979</v>
      </c>
      <c r="V20" s="199">
        <f>V6+'実効温度差（ETD)諸言'!$G$38</f>
        <v>5.0999999999999979</v>
      </c>
      <c r="W20" s="199">
        <f>W6+'実効温度差（ETD)諸言'!$G$38</f>
        <v>4.0999999999999979</v>
      </c>
      <c r="X20" s="199">
        <f>X6+'実効温度差（ETD)諸言'!$G$38</f>
        <v>4.0999999999999979</v>
      </c>
      <c r="Y20" s="180">
        <v>0</v>
      </c>
      <c r="Z20" s="180">
        <v>0</v>
      </c>
      <c r="AA20" s="180">
        <v>0</v>
      </c>
    </row>
    <row r="21" spans="2:27" ht="13.5" thickBot="1">
      <c r="B21" s="2047"/>
      <c r="C21" s="206" t="s">
        <v>141</v>
      </c>
      <c r="D21" s="192">
        <v>0</v>
      </c>
      <c r="E21" s="192">
        <v>0</v>
      </c>
      <c r="F21" s="192">
        <v>0</v>
      </c>
      <c r="G21" s="192">
        <v>0</v>
      </c>
      <c r="H21" s="207">
        <f>H7+'実効温度差（ETD)諸言'!$G$38</f>
        <v>4.0999999999999979</v>
      </c>
      <c r="I21" s="207">
        <f>I7+'実効温度差（ETD)諸言'!$G$38</f>
        <v>3.0999999999999979</v>
      </c>
      <c r="J21" s="207">
        <f>J7+'実効温度差（ETD)諸言'!$G$38</f>
        <v>4.0999999999999979</v>
      </c>
      <c r="K21" s="208">
        <f>K7+'実効温度差（ETD)諸言'!$G$38</f>
        <v>5.0999999999999979</v>
      </c>
      <c r="L21" s="922">
        <f>ROUND(L7+'実効温度差（ETD)諸言'!$G$38,1)</f>
        <v>7.1</v>
      </c>
      <c r="M21" s="209">
        <f>M7+'実効温度差（ETD)諸言'!$G$38</f>
        <v>9.0999999999999979</v>
      </c>
      <c r="N21" s="208">
        <f>N7+'実効温度差（ETD)諸言'!$G$38</f>
        <v>12.099999999999998</v>
      </c>
      <c r="O21" s="922">
        <f>ROUND(O7+'実効温度差（ETD)諸言'!$G$38,1)</f>
        <v>16.100000000000001</v>
      </c>
      <c r="P21" s="209">
        <f>P7+'実効温度差（ETD)諸言'!$G$38</f>
        <v>19.099999999999998</v>
      </c>
      <c r="Q21" s="208">
        <f>Q7+'実効温度差（ETD)諸言'!$G$38</f>
        <v>21.099999999999998</v>
      </c>
      <c r="R21" s="922">
        <f>ROUND(R7+'実効温度差（ETD)諸言'!$G$38,1)</f>
        <v>23.1</v>
      </c>
      <c r="S21" s="209">
        <f>S7+'実効温度差（ETD)諸言'!$G$38</f>
        <v>24.099999999999998</v>
      </c>
      <c r="T21" s="207">
        <f>T7+'実効温度差（ETD)諸言'!$G$38</f>
        <v>24.099999999999998</v>
      </c>
      <c r="U21" s="207">
        <f>U7+'実効温度差（ETD)諸言'!$G$38</f>
        <v>23.099999999999998</v>
      </c>
      <c r="V21" s="207">
        <f>V7+'実効温度差（ETD)諸言'!$G$38</f>
        <v>21.099999999999998</v>
      </c>
      <c r="W21" s="207">
        <f>W7+'実効温度差（ETD)諸言'!$G$38</f>
        <v>19.099999999999998</v>
      </c>
      <c r="X21" s="207">
        <f>X7+'実効温度差（ETD)諸言'!$G$38</f>
        <v>16.099999999999998</v>
      </c>
      <c r="Y21" s="192">
        <v>0</v>
      </c>
      <c r="Z21" s="192">
        <v>0</v>
      </c>
      <c r="AA21" s="197">
        <v>0</v>
      </c>
    </row>
    <row r="22" spans="2:27">
      <c r="B22" s="2046"/>
      <c r="C22" s="202" t="s">
        <v>142</v>
      </c>
      <c r="D22" s="186">
        <v>0</v>
      </c>
      <c r="E22" s="186">
        <v>0</v>
      </c>
      <c r="F22" s="186">
        <v>0</v>
      </c>
      <c r="G22" s="186">
        <v>0</v>
      </c>
      <c r="H22" s="203">
        <f>H8+'実効温度差（ETD)諸言'!$G$38</f>
        <v>2.0999999999999979</v>
      </c>
      <c r="I22" s="203">
        <f>I8+'実効温度差（ETD)諸言'!$G$38</f>
        <v>2.0999999999999979</v>
      </c>
      <c r="J22" s="203">
        <f>J8+'実効温度差（ETD)諸言'!$G$38</f>
        <v>2.0999999999999979</v>
      </c>
      <c r="K22" s="204">
        <f>K8+'実効温度差（ETD)諸言'!$G$38</f>
        <v>2.0999999999999979</v>
      </c>
      <c r="L22" s="923">
        <f>ROUND(L8+'実効温度差（ETD)諸言'!$G$38,1)</f>
        <v>3.1</v>
      </c>
      <c r="M22" s="205">
        <f>M8+'実効温度差（ETD)諸言'!$G$38</f>
        <v>3.0999999999999979</v>
      </c>
      <c r="N22" s="204">
        <f>N8+'実効温度差（ETD)諸言'!$G$38</f>
        <v>3.0999999999999979</v>
      </c>
      <c r="O22" s="923">
        <f>ROUND(O8+'実効温度差（ETD)諸言'!$G$38,1)</f>
        <v>4.0999999999999996</v>
      </c>
      <c r="P22" s="205">
        <f>P8+'実効温度差（ETD)諸言'!$G$38</f>
        <v>5.0999999999999979</v>
      </c>
      <c r="Q22" s="204">
        <f>Q8+'実効温度差（ETD)諸言'!$G$38</f>
        <v>5.0999999999999979</v>
      </c>
      <c r="R22" s="923">
        <f>ROUND(R8+'実効温度差（ETD)諸言'!$G$38,1)</f>
        <v>6.1</v>
      </c>
      <c r="S22" s="205">
        <f>S8+'実効温度差（ETD)諸言'!$G$38</f>
        <v>6.0999999999999979</v>
      </c>
      <c r="T22" s="203">
        <f>T8+'実効温度差（ETD)諸言'!$G$38</f>
        <v>6.0999999999999979</v>
      </c>
      <c r="U22" s="203">
        <f>U8+'実効温度差（ETD)諸言'!$G$38</f>
        <v>7.0999999999999979</v>
      </c>
      <c r="V22" s="203">
        <f>V8+'実効温度差（ETD)諸言'!$G$38</f>
        <v>7.0999999999999979</v>
      </c>
      <c r="W22" s="203">
        <f>W8+'実効温度差（ETD)諸言'!$G$38</f>
        <v>7.0999999999999979</v>
      </c>
      <c r="X22" s="203">
        <f>X8+'実効温度差（ETD)諸言'!$G$38</f>
        <v>6.0999999999999979</v>
      </c>
      <c r="Y22" s="186">
        <v>0</v>
      </c>
      <c r="Z22" s="186">
        <v>0</v>
      </c>
      <c r="AA22" s="186">
        <v>0</v>
      </c>
    </row>
    <row r="23" spans="2:27">
      <c r="B23" s="2046"/>
      <c r="C23" s="96" t="s">
        <v>143</v>
      </c>
      <c r="D23" s="146">
        <v>0</v>
      </c>
      <c r="E23" s="146">
        <v>0</v>
      </c>
      <c r="F23" s="146">
        <v>0</v>
      </c>
      <c r="G23" s="146">
        <v>0</v>
      </c>
      <c r="H23" s="97">
        <f>H9+'実効温度差（ETD)諸言'!$G$38</f>
        <v>2.0999999999999979</v>
      </c>
      <c r="I23" s="97">
        <f>I9+'実効温度差（ETD)諸言'!$G$38</f>
        <v>2.0999999999999979</v>
      </c>
      <c r="J23" s="97">
        <f>J9+'実効温度差（ETD)諸言'!$G$38</f>
        <v>3.0999999999999979</v>
      </c>
      <c r="K23" s="98">
        <f>K9+'実効温度差（ETD)諸言'!$G$38</f>
        <v>5.0999999999999979</v>
      </c>
      <c r="L23" s="924">
        <f>ROUND(L9+'実効温度差（ETD)諸言'!$G$38,1)</f>
        <v>7.1</v>
      </c>
      <c r="M23" s="99">
        <f>M9+'実効温度差（ETD)諸言'!$G$38</f>
        <v>8.0999999999999979</v>
      </c>
      <c r="N23" s="98">
        <f>N9+'実効温度差（ETD)諸言'!$G$38</f>
        <v>9.0999999999999979</v>
      </c>
      <c r="O23" s="924">
        <f>ROUND(O9+'実効温度差（ETD)諸言'!$G$38,1)</f>
        <v>9.1</v>
      </c>
      <c r="P23" s="99">
        <f>P9+'実効温度差（ETD)諸言'!$G$38</f>
        <v>9.0999999999999979</v>
      </c>
      <c r="Q23" s="98">
        <f>Q9+'実効温度差（ETD)諸言'!$G$38</f>
        <v>9.0999999999999979</v>
      </c>
      <c r="R23" s="924">
        <f>ROUND(R9+'実効温度差（ETD)諸言'!$G$38,1)</f>
        <v>9.1</v>
      </c>
      <c r="S23" s="99">
        <f>S9+'実効温度差（ETD)諸言'!$G$38</f>
        <v>8.0999999999999979</v>
      </c>
      <c r="T23" s="97">
        <f>T9+'実効温度差（ETD)諸言'!$G$38</f>
        <v>8.0999999999999979</v>
      </c>
      <c r="U23" s="97">
        <f>U9+'実効温度差（ETD)諸言'!$G$38</f>
        <v>8.0999999999999979</v>
      </c>
      <c r="V23" s="97">
        <f>V9+'実効温度差（ETD)諸言'!$G$38</f>
        <v>7.0999999999999979</v>
      </c>
      <c r="W23" s="97">
        <f>W9+'実効温度差（ETD)諸言'!$G$38</f>
        <v>7.0999999999999979</v>
      </c>
      <c r="X23" s="97">
        <f>X9+'実効温度差（ETD)諸言'!$G$38</f>
        <v>6.0999999999999979</v>
      </c>
      <c r="Y23" s="146">
        <v>0</v>
      </c>
      <c r="Z23" s="146">
        <v>0</v>
      </c>
      <c r="AA23" s="146">
        <v>0</v>
      </c>
    </row>
    <row r="24" spans="2:27">
      <c r="B24" s="2046"/>
      <c r="C24" s="96" t="s">
        <v>144</v>
      </c>
      <c r="D24" s="146">
        <v>0</v>
      </c>
      <c r="E24" s="146">
        <v>0</v>
      </c>
      <c r="F24" s="146">
        <v>0</v>
      </c>
      <c r="G24" s="146">
        <v>0</v>
      </c>
      <c r="H24" s="97">
        <f>H10+'実効温度差（ETD)諸言'!$G$38</f>
        <v>2.0999999999999979</v>
      </c>
      <c r="I24" s="97">
        <f>I10+'実効温度差（ETD)諸言'!$G$38</f>
        <v>2.0999999999999979</v>
      </c>
      <c r="J24" s="97">
        <f>J10+'実効温度差（ETD)諸言'!$G$38</f>
        <v>3.0999999999999979</v>
      </c>
      <c r="K24" s="98">
        <f>K10+'実効温度差（ETD)諸言'!$G$38</f>
        <v>6.0999999999999979</v>
      </c>
      <c r="L24" s="924">
        <f>ROUND(L10+'実効温度差（ETD)諸言'!$G$38,1)</f>
        <v>8.1</v>
      </c>
      <c r="M24" s="99">
        <f>M10+'実効温度差（ETD)諸言'!$G$38</f>
        <v>10.099999999999998</v>
      </c>
      <c r="N24" s="98">
        <f>N10+'実効温度差（ETD)諸言'!$G$38</f>
        <v>12.099999999999998</v>
      </c>
      <c r="O24" s="924">
        <f>ROUND(O10+'実効温度差（ETD)諸言'!$G$38,1)</f>
        <v>12.1</v>
      </c>
      <c r="P24" s="99">
        <f>P10+'実効温度差（ETD)諸言'!$G$38</f>
        <v>12.099999999999998</v>
      </c>
      <c r="Q24" s="98">
        <f>Q10+'実効温度差（ETD)諸言'!$G$38</f>
        <v>12.099999999999998</v>
      </c>
      <c r="R24" s="924">
        <f>ROUND(R10+'実効温度差（ETD)諸言'!$G$38,1)</f>
        <v>11.1</v>
      </c>
      <c r="S24" s="99">
        <f>S10+'実効温度差（ETD)諸言'!$G$38</f>
        <v>11.099999999999998</v>
      </c>
      <c r="T24" s="97">
        <f>T10+'実効温度差（ETD)諸言'!$G$38</f>
        <v>10.099999999999998</v>
      </c>
      <c r="U24" s="97">
        <f>U10+'実効温度差（ETD)諸言'!$G$38</f>
        <v>9.0999999999999979</v>
      </c>
      <c r="V24" s="97">
        <f>V10+'実効温度差（ETD)諸言'!$G$38</f>
        <v>9.0999999999999979</v>
      </c>
      <c r="W24" s="97">
        <f>W10+'実効温度差（ETD)諸言'!$G$38</f>
        <v>8.0999999999999979</v>
      </c>
      <c r="X24" s="97">
        <f>X10+'実効温度差（ETD)諸言'!$G$38</f>
        <v>7.0999999999999979</v>
      </c>
      <c r="Y24" s="146">
        <v>0</v>
      </c>
      <c r="Z24" s="146">
        <v>0</v>
      </c>
      <c r="AA24" s="146">
        <v>0</v>
      </c>
    </row>
    <row r="25" spans="2:27">
      <c r="B25" s="2046"/>
      <c r="C25" s="96" t="s">
        <v>145</v>
      </c>
      <c r="D25" s="146">
        <v>0</v>
      </c>
      <c r="E25" s="146">
        <v>0</v>
      </c>
      <c r="F25" s="146">
        <v>0</v>
      </c>
      <c r="G25" s="146">
        <v>0</v>
      </c>
      <c r="H25" s="97">
        <f>H11+'実効温度差（ETD)諸言'!$G$38</f>
        <v>2.0999999999999979</v>
      </c>
      <c r="I25" s="97">
        <f>I11+'実効温度差（ETD)諸言'!$G$38</f>
        <v>2.0999999999999979</v>
      </c>
      <c r="J25" s="97">
        <f>J11+'実効温度差（ETD)諸言'!$G$38</f>
        <v>3.0999999999999979</v>
      </c>
      <c r="K25" s="98">
        <f>K11+'実効温度差（ETD)諸言'!$G$38</f>
        <v>4.0999999999999979</v>
      </c>
      <c r="L25" s="924">
        <f>ROUND(L11+'実効温度差（ETD)諸言'!$G$38,1)</f>
        <v>6.1</v>
      </c>
      <c r="M25" s="99">
        <f>M11+'実効温度差（ETD)諸言'!$G$38</f>
        <v>8.0999999999999979</v>
      </c>
      <c r="N25" s="98">
        <f>N11+'実効温度差（ETD)諸言'!$G$38</f>
        <v>9.0999999999999979</v>
      </c>
      <c r="O25" s="924">
        <f>ROUND(O11+'実効温度差（ETD)諸言'!$G$38,1)</f>
        <v>11.1</v>
      </c>
      <c r="P25" s="99">
        <f>P11+'実効温度差（ETD)諸言'!$G$38</f>
        <v>11.099999999999998</v>
      </c>
      <c r="Q25" s="98">
        <f>Q11+'実効温度差（ETD)諸言'!$G$38</f>
        <v>11.099999999999998</v>
      </c>
      <c r="R25" s="924">
        <f>ROUND(R11+'実効温度差（ETD)諸言'!$G$38,1)</f>
        <v>11.1</v>
      </c>
      <c r="S25" s="99">
        <f>S11+'実効温度差（ETD)諸言'!$G$38</f>
        <v>10.099999999999998</v>
      </c>
      <c r="T25" s="97">
        <f>T11+'実効温度差（ETD)諸言'!$G$38</f>
        <v>10.099999999999998</v>
      </c>
      <c r="U25" s="97">
        <f>U11+'実効温度差（ETD)諸言'!$G$38</f>
        <v>9.0999999999999979</v>
      </c>
      <c r="V25" s="97">
        <f>V11+'実効温度差（ETD)諸言'!$G$38</f>
        <v>8.0999999999999979</v>
      </c>
      <c r="W25" s="97">
        <f>W11+'実効温度差（ETD)諸言'!$G$38</f>
        <v>8.0999999999999979</v>
      </c>
      <c r="X25" s="97">
        <f>X11+'実効温度差（ETD)諸言'!$G$38</f>
        <v>7.0999999999999979</v>
      </c>
      <c r="Y25" s="146">
        <v>0</v>
      </c>
      <c r="Z25" s="146">
        <v>0</v>
      </c>
      <c r="AA25" s="146">
        <v>0</v>
      </c>
    </row>
    <row r="26" spans="2:27">
      <c r="B26" s="2046"/>
      <c r="C26" s="96" t="s">
        <v>146</v>
      </c>
      <c r="D26" s="146">
        <v>0</v>
      </c>
      <c r="E26" s="146">
        <v>0</v>
      </c>
      <c r="F26" s="146">
        <v>0</v>
      </c>
      <c r="G26" s="146">
        <v>0</v>
      </c>
      <c r="H26" s="97">
        <f>H12+'実効温度差（ETD)諸言'!$G$38</f>
        <v>2.0999999999999979</v>
      </c>
      <c r="I26" s="97">
        <f>I12+'実効温度差（ETD)諸言'!$G$38</f>
        <v>2.0999999999999979</v>
      </c>
      <c r="J26" s="97">
        <f>J12+'実効温度差（ETD)諸言'!$G$38</f>
        <v>1.0999999999999979</v>
      </c>
      <c r="K26" s="98">
        <f>K12+'実効温度差（ETD)諸言'!$G$38</f>
        <v>2.0999999999999979</v>
      </c>
      <c r="L26" s="919">
        <f>ROUND(L12+'実効温度差（ETD)諸言'!$G$38,1)</f>
        <v>2.1</v>
      </c>
      <c r="M26" s="99">
        <f>M12+'実効温度差（ETD)諸言'!$G$38</f>
        <v>3.0999999999999979</v>
      </c>
      <c r="N26" s="98">
        <f>N12+'実効温度差（ETD)諸言'!$G$38</f>
        <v>4.0999999999999979</v>
      </c>
      <c r="O26" s="919">
        <f>ROUND(O12+'実効温度差（ETD)諸言'!$G$38,1)</f>
        <v>5.0999999999999996</v>
      </c>
      <c r="P26" s="99">
        <f>P12+'実効温度差（ETD)諸言'!$G$38</f>
        <v>7.0999999999999979</v>
      </c>
      <c r="Q26" s="98">
        <f>Q12+'実効温度差（ETD)諸言'!$G$38</f>
        <v>8.0999999999999979</v>
      </c>
      <c r="R26" s="919">
        <f>ROUND(R12+'実効温度差（ETD)諸言'!$G$38,1)</f>
        <v>9.1</v>
      </c>
      <c r="S26" s="99">
        <f>S12+'実効温度差（ETD)諸言'!$G$38</f>
        <v>9.0999999999999979</v>
      </c>
      <c r="T26" s="97">
        <f>T12+'実効温度差（ETD)諸言'!$G$38</f>
        <v>9.0999999999999979</v>
      </c>
      <c r="U26" s="97">
        <f>U12+'実効温度差（ETD)諸言'!$G$38</f>
        <v>9.0999999999999979</v>
      </c>
      <c r="V26" s="97">
        <f>V12+'実効温度差（ETD)諸言'!$G$38</f>
        <v>8.0999999999999979</v>
      </c>
      <c r="W26" s="97">
        <f>W12+'実効温度差（ETD)諸言'!$G$38</f>
        <v>7.0999999999999979</v>
      </c>
      <c r="X26" s="97">
        <f>X12+'実効温度差（ETD)諸言'!$G$38</f>
        <v>7.0999999999999979</v>
      </c>
      <c r="Y26" s="146">
        <v>0</v>
      </c>
      <c r="Z26" s="146">
        <v>0</v>
      </c>
      <c r="AA26" s="146">
        <v>0</v>
      </c>
    </row>
    <row r="27" spans="2:27">
      <c r="B27" s="2046"/>
      <c r="C27" s="96" t="s">
        <v>147</v>
      </c>
      <c r="D27" s="146">
        <v>0</v>
      </c>
      <c r="E27" s="146">
        <v>0</v>
      </c>
      <c r="F27" s="146">
        <v>0</v>
      </c>
      <c r="G27" s="146">
        <v>0</v>
      </c>
      <c r="H27" s="97">
        <f>H13+'実効温度差（ETD)諸言'!$G$38</f>
        <v>3.0999999999999979</v>
      </c>
      <c r="I27" s="97">
        <f>I13+'実効温度差（ETD)諸言'!$G$38</f>
        <v>2.0999999999999979</v>
      </c>
      <c r="J27" s="97">
        <f>J13+'実効温度差（ETD)諸言'!$G$38</f>
        <v>2.0999999999999979</v>
      </c>
      <c r="K27" s="98">
        <f>K13+'実効温度差（ETD)諸言'!$G$38</f>
        <v>2.0999999999999979</v>
      </c>
      <c r="L27" s="919">
        <f>ROUND(L13+'実効温度差（ETD)諸言'!$G$38,1)</f>
        <v>2.1</v>
      </c>
      <c r="M27" s="99">
        <f>M13+'実効温度差（ETD)諸言'!$G$38</f>
        <v>3.0999999999999979</v>
      </c>
      <c r="N27" s="98">
        <f>N13+'実効温度差（ETD)諸言'!$G$38</f>
        <v>3.0999999999999979</v>
      </c>
      <c r="O27" s="919">
        <f>ROUND(O13+'実効温度差（ETD)諸言'!$G$38,1)</f>
        <v>4.0999999999999996</v>
      </c>
      <c r="P27" s="99">
        <f>P13+'実効温度差（ETD)諸言'!$G$38</f>
        <v>5.0999999999999979</v>
      </c>
      <c r="Q27" s="98">
        <f>Q13+'実効温度差（ETD)諸言'!$G$38</f>
        <v>7.0999999999999979</v>
      </c>
      <c r="R27" s="919">
        <f>ROUND(R13+'実効温度差（ETD)諸言'!$G$38,1)</f>
        <v>9.1</v>
      </c>
      <c r="S27" s="99">
        <f>S13+'実効温度差（ETD)諸言'!$G$38</f>
        <v>11.099999999999998</v>
      </c>
      <c r="T27" s="97">
        <f>T13+'実効温度差（ETD)諸言'!$G$38</f>
        <v>12.099999999999998</v>
      </c>
      <c r="U27" s="97">
        <f>U13+'実効温度差（ETD)諸言'!$G$38</f>
        <v>13.099999999999998</v>
      </c>
      <c r="V27" s="97">
        <f>V13+'実効温度差（ETD)諸言'!$G$38</f>
        <v>13.099999999999998</v>
      </c>
      <c r="W27" s="97">
        <f>W13+'実効温度差（ETD)諸言'!$G$38</f>
        <v>12.099999999999998</v>
      </c>
      <c r="X27" s="97">
        <f>X13+'実効温度差（ETD)諸言'!$G$38</f>
        <v>11.099999999999998</v>
      </c>
      <c r="Y27" s="146">
        <v>0</v>
      </c>
      <c r="Z27" s="146">
        <v>0</v>
      </c>
      <c r="AA27" s="146">
        <v>0</v>
      </c>
    </row>
    <row r="28" spans="2:27">
      <c r="B28" s="2046"/>
      <c r="C28" s="96" t="s">
        <v>148</v>
      </c>
      <c r="D28" s="146">
        <v>0</v>
      </c>
      <c r="E28" s="146">
        <v>0</v>
      </c>
      <c r="F28" s="146">
        <v>0</v>
      </c>
      <c r="G28" s="146">
        <v>0</v>
      </c>
      <c r="H28" s="97">
        <f>H14+'実効温度差（ETD)諸言'!$G$38</f>
        <v>3.0999999999999979</v>
      </c>
      <c r="I28" s="97">
        <f>I14+'実効温度差（ETD)諸言'!$G$38</f>
        <v>3.0999999999999979</v>
      </c>
      <c r="J28" s="97">
        <f>J14+'実効温度差（ETD)諸言'!$G$38</f>
        <v>2.0999999999999979</v>
      </c>
      <c r="K28" s="98">
        <f>K14+'実効温度差（ETD)諸言'!$G$38</f>
        <v>2.0999999999999979</v>
      </c>
      <c r="L28" s="919">
        <f>ROUND(L14+'実効温度差（ETD)諸言'!$G$38,1)</f>
        <v>2.1</v>
      </c>
      <c r="M28" s="99">
        <f>M14+'実効温度差（ETD)諸言'!$G$38</f>
        <v>3.0999999999999979</v>
      </c>
      <c r="N28" s="98">
        <f>N14+'実効温度差（ETD)諸言'!$G$38</f>
        <v>3.0999999999999979</v>
      </c>
      <c r="O28" s="919">
        <f>ROUND(O14+'実効温度差（ETD)諸言'!$G$38,1)</f>
        <v>4.0999999999999996</v>
      </c>
      <c r="P28" s="99">
        <f>P14+'実効温度差（ETD)諸言'!$G$38</f>
        <v>5.0999999999999979</v>
      </c>
      <c r="Q28" s="98">
        <f>Q14+'実効温度差（ETD)諸言'!$G$38</f>
        <v>6.0999999999999979</v>
      </c>
      <c r="R28" s="919">
        <f>ROUND(R14+'実効温度差（ETD)諸言'!$G$38,1)</f>
        <v>8.1</v>
      </c>
      <c r="S28" s="99">
        <f>S14+'実効温度差（ETD)諸言'!$G$38</f>
        <v>11.099999999999998</v>
      </c>
      <c r="T28" s="97">
        <f>T14+'実効温度差（ETD)諸言'!$G$38</f>
        <v>13.099999999999998</v>
      </c>
      <c r="U28" s="97">
        <f>U14+'実効温度差（ETD)諸言'!$G$38</f>
        <v>15.099999999999998</v>
      </c>
      <c r="V28" s="97">
        <f>V14+'実効温度差（ETD)諸言'!$G$38</f>
        <v>15.099999999999998</v>
      </c>
      <c r="W28" s="97">
        <f>W14+'実効温度差（ETD)諸言'!$G$38</f>
        <v>15.099999999999998</v>
      </c>
      <c r="X28" s="97">
        <f>X14+'実効温度差（ETD)諸言'!$G$38</f>
        <v>13.099999999999998</v>
      </c>
      <c r="Y28" s="146">
        <v>0</v>
      </c>
      <c r="Z28" s="146">
        <v>0</v>
      </c>
      <c r="AA28" s="146">
        <v>0</v>
      </c>
    </row>
    <row r="29" spans="2:27" ht="13.5" thickBot="1">
      <c r="B29" s="2046"/>
      <c r="C29" s="96" t="s">
        <v>149</v>
      </c>
      <c r="D29" s="146">
        <v>0</v>
      </c>
      <c r="E29" s="146">
        <v>0</v>
      </c>
      <c r="F29" s="146">
        <v>0</v>
      </c>
      <c r="G29" s="146">
        <v>0</v>
      </c>
      <c r="H29" s="97">
        <f>H15+'実効温度差（ETD)諸言'!$G$38</f>
        <v>3.0999999999999979</v>
      </c>
      <c r="I29" s="97">
        <f>I15+'実効温度差（ETD)諸言'!$G$38</f>
        <v>2.0999999999999979</v>
      </c>
      <c r="J29" s="97">
        <f>J15+'実効温度差（ETD)諸言'!$G$38</f>
        <v>2.0999999999999979</v>
      </c>
      <c r="K29" s="98">
        <f>K15+'実効温度差（ETD)諸言'!$G$38</f>
        <v>2.0999999999999979</v>
      </c>
      <c r="L29" s="920">
        <f>ROUND(L15+'実効温度差（ETD)諸言'!$G$38,1)</f>
        <v>2.1</v>
      </c>
      <c r="M29" s="99">
        <f>M15+'実効温度差（ETD)諸言'!$G$38</f>
        <v>3.0999999999999979</v>
      </c>
      <c r="N29" s="98">
        <f>N15+'実効温度差（ETD)諸言'!$G$38</f>
        <v>3.0999999999999979</v>
      </c>
      <c r="O29" s="920">
        <f>ROUND(O15+'実効温度差（ETD)諸言'!$G$38,1)</f>
        <v>4.0999999999999996</v>
      </c>
      <c r="P29" s="99">
        <f>P15+'実効温度差（ETD)諸言'!$G$38</f>
        <v>4.0999999999999979</v>
      </c>
      <c r="Q29" s="98">
        <f>Q15+'実効温度差（ETD)諸言'!$G$38</f>
        <v>5.0999999999999979</v>
      </c>
      <c r="R29" s="920">
        <f>ROUND(R15+'実効温度差（ETD)諸言'!$G$38,1)</f>
        <v>6.1</v>
      </c>
      <c r="S29" s="99">
        <f>S15+'実効温度差（ETD)諸言'!$G$38</f>
        <v>8.0999999999999979</v>
      </c>
      <c r="T29" s="97">
        <f>T15+'実効温度差（ETD)諸言'!$G$38</f>
        <v>10.099999999999998</v>
      </c>
      <c r="U29" s="97">
        <f>U15+'実効温度差（ETD)諸言'!$G$38</f>
        <v>11.099999999999998</v>
      </c>
      <c r="V29" s="97">
        <f>V15+'実効温度差（ETD)諸言'!$G$38</f>
        <v>12.099999999999998</v>
      </c>
      <c r="W29" s="97">
        <f>W15+'実効温度差（ETD)諸言'!$G$38</f>
        <v>12.099999999999998</v>
      </c>
      <c r="X29" s="97">
        <f>X15+'実効温度差（ETD)諸言'!$G$38</f>
        <v>11.099999999999998</v>
      </c>
      <c r="Y29" s="146">
        <v>0</v>
      </c>
      <c r="Z29" s="146">
        <v>0</v>
      </c>
      <c r="AA29" s="146">
        <v>0</v>
      </c>
    </row>
    <row r="30" spans="2:27">
      <c r="B30" s="88" t="s">
        <v>150</v>
      </c>
    </row>
    <row r="32" spans="2:27">
      <c r="J32" s="100">
        <f>AVERAGE(J20:J29)</f>
        <v>2.3999999999999977</v>
      </c>
      <c r="K32" s="100">
        <f>AVERAGE(K20:K29)</f>
        <v>3.199999999999998</v>
      </c>
      <c r="L32" s="101">
        <f>AVERAGE(L20:L29)</f>
        <v>4.1000000000000005</v>
      </c>
      <c r="M32" s="100">
        <f t="shared" ref="M32:U32" si="0">AVERAGE(M20:M29)</f>
        <v>5.1999999999999975</v>
      </c>
      <c r="N32" s="100">
        <f t="shared" si="0"/>
        <v>6.0999999999999961</v>
      </c>
      <c r="O32" s="101">
        <f>AVERAGE(O20:O29)</f>
        <v>7.2</v>
      </c>
      <c r="P32" s="100">
        <f t="shared" si="0"/>
        <v>8.0999999999999961</v>
      </c>
      <c r="Q32" s="100">
        <f t="shared" si="0"/>
        <v>8.7999999999999954</v>
      </c>
      <c r="R32" s="101">
        <f t="shared" si="0"/>
        <v>9.6999999999999993</v>
      </c>
      <c r="S32" s="100">
        <f t="shared" si="0"/>
        <v>10.299999999999995</v>
      </c>
      <c r="T32" s="100">
        <f t="shared" si="0"/>
        <v>10.799999999999995</v>
      </c>
      <c r="U32" s="100">
        <f t="shared" si="0"/>
        <v>10.999999999999996</v>
      </c>
    </row>
    <row r="40" spans="2:27">
      <c r="B40" s="249" t="s">
        <v>151</v>
      </c>
    </row>
    <row r="41" spans="2:27" ht="15">
      <c r="B41" s="103" t="s">
        <v>152</v>
      </c>
    </row>
    <row r="42" spans="2:27" ht="13.5" thickBot="1">
      <c r="B42" s="2048" t="s">
        <v>138</v>
      </c>
      <c r="C42" s="2048" t="s">
        <v>50</v>
      </c>
      <c r="D42" s="2048" t="s">
        <v>139</v>
      </c>
      <c r="E42" s="2048"/>
      <c r="F42" s="2048"/>
      <c r="G42" s="2048"/>
      <c r="H42" s="2048"/>
      <c r="I42" s="2048"/>
      <c r="J42" s="2048"/>
      <c r="K42" s="2048"/>
      <c r="L42" s="2049"/>
      <c r="M42" s="2048"/>
      <c r="N42" s="2048"/>
      <c r="O42" s="2049"/>
      <c r="P42" s="2048"/>
      <c r="Q42" s="2048"/>
      <c r="R42" s="2049"/>
      <c r="S42" s="2048"/>
      <c r="T42" s="2048"/>
      <c r="U42" s="2048"/>
      <c r="V42" s="2048"/>
      <c r="W42" s="2048"/>
      <c r="X42" s="2048"/>
      <c r="Y42" s="2048"/>
      <c r="Z42" s="2048"/>
      <c r="AA42" s="2048"/>
    </row>
    <row r="43" spans="2:27">
      <c r="B43" s="2048"/>
      <c r="C43" s="2048"/>
      <c r="D43" s="146">
        <v>1</v>
      </c>
      <c r="E43" s="146">
        <v>2</v>
      </c>
      <c r="F43" s="146">
        <v>3</v>
      </c>
      <c r="G43" s="146">
        <v>4</v>
      </c>
      <c r="H43" s="89">
        <v>5</v>
      </c>
      <c r="I43" s="89">
        <v>6</v>
      </c>
      <c r="J43" s="89">
        <v>7</v>
      </c>
      <c r="K43" s="174">
        <v>8</v>
      </c>
      <c r="L43" s="178">
        <v>9</v>
      </c>
      <c r="M43" s="176">
        <v>10</v>
      </c>
      <c r="N43" s="174">
        <v>11</v>
      </c>
      <c r="O43" s="178">
        <v>12</v>
      </c>
      <c r="P43" s="176">
        <v>13</v>
      </c>
      <c r="Q43" s="174">
        <v>14</v>
      </c>
      <c r="R43" s="178">
        <v>15</v>
      </c>
      <c r="S43" s="176">
        <v>16</v>
      </c>
      <c r="T43" s="89">
        <v>17</v>
      </c>
      <c r="U43" s="89">
        <v>18</v>
      </c>
      <c r="V43" s="89">
        <v>19</v>
      </c>
      <c r="W43" s="89">
        <v>20</v>
      </c>
      <c r="X43" s="89">
        <v>21</v>
      </c>
      <c r="Y43" s="146">
        <v>22</v>
      </c>
      <c r="Z43" s="146">
        <v>23</v>
      </c>
      <c r="AA43" s="146">
        <v>24</v>
      </c>
    </row>
    <row r="44" spans="2:27" ht="13.5" thickBot="1">
      <c r="B44" s="2048" t="s">
        <v>188</v>
      </c>
      <c r="C44" s="179" t="s">
        <v>140</v>
      </c>
      <c r="D44" s="180">
        <v>0</v>
      </c>
      <c r="E44" s="180">
        <v>0</v>
      </c>
      <c r="F44" s="180">
        <v>0</v>
      </c>
      <c r="G44" s="180">
        <v>0</v>
      </c>
      <c r="H44" s="181">
        <f>H6</f>
        <v>2</v>
      </c>
      <c r="I44" s="181">
        <f t="shared" ref="I44:X44" si="1">I6</f>
        <v>2</v>
      </c>
      <c r="J44" s="181">
        <f t="shared" si="1"/>
        <v>2</v>
      </c>
      <c r="K44" s="182">
        <f t="shared" si="1"/>
        <v>2</v>
      </c>
      <c r="L44" s="183">
        <f t="shared" si="1"/>
        <v>2</v>
      </c>
      <c r="M44" s="184">
        <f t="shared" si="1"/>
        <v>2</v>
      </c>
      <c r="N44" s="182">
        <f t="shared" si="1"/>
        <v>3</v>
      </c>
      <c r="O44" s="183">
        <f t="shared" si="1"/>
        <v>3</v>
      </c>
      <c r="P44" s="184">
        <f t="shared" si="1"/>
        <v>4</v>
      </c>
      <c r="Q44" s="182">
        <f t="shared" si="1"/>
        <v>4</v>
      </c>
      <c r="R44" s="183">
        <f t="shared" si="1"/>
        <v>5</v>
      </c>
      <c r="S44" s="184">
        <f t="shared" si="1"/>
        <v>5</v>
      </c>
      <c r="T44" s="181">
        <f t="shared" si="1"/>
        <v>6</v>
      </c>
      <c r="U44" s="181">
        <f t="shared" si="1"/>
        <v>6</v>
      </c>
      <c r="V44" s="181">
        <f t="shared" si="1"/>
        <v>6</v>
      </c>
      <c r="W44" s="181">
        <f t="shared" si="1"/>
        <v>5</v>
      </c>
      <c r="X44" s="181">
        <f t="shared" si="1"/>
        <v>5</v>
      </c>
      <c r="Y44" s="180">
        <v>0</v>
      </c>
      <c r="Z44" s="180">
        <v>0</v>
      </c>
      <c r="AA44" s="180">
        <v>0</v>
      </c>
    </row>
    <row r="45" spans="2:27" ht="13.5" thickBot="1">
      <c r="B45" s="2050"/>
      <c r="C45" s="191" t="s">
        <v>141</v>
      </c>
      <c r="D45" s="192">
        <v>0</v>
      </c>
      <c r="E45" s="192">
        <v>0</v>
      </c>
      <c r="F45" s="192">
        <v>0</v>
      </c>
      <c r="G45" s="192">
        <v>0</v>
      </c>
      <c r="H45" s="193">
        <f>(入力!$D$83/0.7)*(H7-$H$6)+$H$6</f>
        <v>5</v>
      </c>
      <c r="I45" s="193">
        <f>(入力!D83/0.7)*(I7-$I$6)+$I$6</f>
        <v>4</v>
      </c>
      <c r="J45" s="193">
        <f>(入力!D83/0.7)*(J7-$J$6)+$J$6</f>
        <v>5</v>
      </c>
      <c r="K45" s="194">
        <f>(入力!D83/0.7)*(K7-$K$6)+$K$6</f>
        <v>6</v>
      </c>
      <c r="L45" s="925">
        <f>ROUND((入力!D83/0.7)*(L7-$L$6)+$L$6,1)</f>
        <v>8</v>
      </c>
      <c r="M45" s="196">
        <f>(入力!D83/0.7)*(M7-$M$6)+$M$6</f>
        <v>10</v>
      </c>
      <c r="N45" s="194">
        <f>(入力!D83/0.7)*(N7-$N$6)+$N$6</f>
        <v>13</v>
      </c>
      <c r="O45" s="195">
        <f>ROUND((入力!D83/0.7)*(O7-$O$6)+$O$6,1)</f>
        <v>17</v>
      </c>
      <c r="P45" s="196">
        <f>(入力!D83/0.7)*(P7-$P$6)+$P$6</f>
        <v>20</v>
      </c>
      <c r="Q45" s="194">
        <f>(入力!D83/0.7)*(Q7-$Q$6)+$Q$6</f>
        <v>22</v>
      </c>
      <c r="R45" s="925">
        <f>ROUND((入力!D83/0.7)*(R7-$R$6)+$R$6,1)</f>
        <v>24</v>
      </c>
      <c r="S45" s="196">
        <f>(入力!D83/0.7)*(S7-$S$6)+$S$6</f>
        <v>25</v>
      </c>
      <c r="T45" s="193">
        <f>(入力!D83/0.7)*(T7-$T$6)+$T$6</f>
        <v>25</v>
      </c>
      <c r="U45" s="193">
        <f>(入力!D83/0.7)*(U7-$U$6)+$U$6</f>
        <v>24</v>
      </c>
      <c r="V45" s="193">
        <f>(入力!D83/0.7)*(V7-$V$6)+$V$6</f>
        <v>22</v>
      </c>
      <c r="W45" s="193">
        <f>(入力!D83/0.7)*(W7-$W$6)+$W$6</f>
        <v>20</v>
      </c>
      <c r="X45" s="193">
        <f>(入力!D83/0.7)*(X7-$X$6)+$X$6</f>
        <v>17</v>
      </c>
      <c r="Y45" s="192">
        <v>0</v>
      </c>
      <c r="Z45" s="192">
        <v>0</v>
      </c>
      <c r="AA45" s="197">
        <v>0</v>
      </c>
    </row>
    <row r="46" spans="2:27">
      <c r="B46" s="2048"/>
      <c r="C46" s="185" t="s">
        <v>142</v>
      </c>
      <c r="D46" s="186">
        <v>0</v>
      </c>
      <c r="E46" s="186">
        <v>0</v>
      </c>
      <c r="F46" s="186">
        <v>0</v>
      </c>
      <c r="G46" s="186">
        <v>0</v>
      </c>
      <c r="H46" s="187">
        <f>(入力!D109/0.7)*(H8-$H$6)+$H$6</f>
        <v>3</v>
      </c>
      <c r="I46" s="187">
        <f>(入力!D109/0.7)*(I8-$I$6)+$I$6</f>
        <v>3</v>
      </c>
      <c r="J46" s="187">
        <f>(入力!D109/0.7)*(J8-$J$6)+$J$6</f>
        <v>3</v>
      </c>
      <c r="K46" s="188">
        <f>(入力!D109/0.7)*(K8-$K$6)+$K$6</f>
        <v>3</v>
      </c>
      <c r="L46" s="926">
        <f>ROUND((入力!D109/0.7)*(L8-$L$6)+$L$6,1)</f>
        <v>4</v>
      </c>
      <c r="M46" s="190">
        <f>(入力!D109/0.7)*(M8-$M$6)+$M$6</f>
        <v>4</v>
      </c>
      <c r="N46" s="188">
        <f>(入力!D109/0.7)*(N8-$N$6)+$N$6</f>
        <v>4</v>
      </c>
      <c r="O46" s="189">
        <f>ROUND((入力!D109/0.7)*(O8-$O$6)+$O$6,1)</f>
        <v>5</v>
      </c>
      <c r="P46" s="190">
        <f>(入力!D109/0.7)*(P8-$P$6)+$P$6</f>
        <v>6</v>
      </c>
      <c r="Q46" s="188">
        <f>(入力!D109/0.7)*(Q8-$Q$6)+$Q$6</f>
        <v>6</v>
      </c>
      <c r="R46" s="926">
        <f>ROUND((入力!D109/0.7)*(R8-$R$6)+$R$6,1)</f>
        <v>7</v>
      </c>
      <c r="S46" s="190">
        <f>(入力!D109/0.7)*(S8-$S$6)+$S$6</f>
        <v>7</v>
      </c>
      <c r="T46" s="187">
        <f>(入力!D109/0.7)*(T8-$T$6)+$T$6</f>
        <v>7</v>
      </c>
      <c r="U46" s="187">
        <f>(入力!D109/0.7)*(U8-$U$6)+$U$6</f>
        <v>8</v>
      </c>
      <c r="V46" s="187">
        <f>(入力!D109/0.7)*(V8-$V$6)+$V$6</f>
        <v>8</v>
      </c>
      <c r="W46" s="187">
        <f>(入力!D109/0.7)*(W8-$W$6)+$W$6</f>
        <v>8</v>
      </c>
      <c r="X46" s="187">
        <f>(入力!D109/0.7)*(X8-$X$6)+$X$6</f>
        <v>7</v>
      </c>
      <c r="Y46" s="186">
        <v>0</v>
      </c>
      <c r="Z46" s="186">
        <v>0</v>
      </c>
      <c r="AA46" s="186">
        <v>0</v>
      </c>
    </row>
    <row r="47" spans="2:27">
      <c r="B47" s="2048"/>
      <c r="C47" s="89" t="s">
        <v>143</v>
      </c>
      <c r="D47" s="146">
        <v>0</v>
      </c>
      <c r="E47" s="146">
        <v>0</v>
      </c>
      <c r="F47" s="146">
        <v>0</v>
      </c>
      <c r="G47" s="146">
        <v>0</v>
      </c>
      <c r="H47" s="104">
        <f>(入力!D110/0.7)*(H9-$H$6)+$H$6</f>
        <v>3</v>
      </c>
      <c r="I47" s="104">
        <f>(入力!D110/0.7)*(I9-$I$6)+$I$6</f>
        <v>3</v>
      </c>
      <c r="J47" s="104">
        <f>(入力!D110/0.7)*(J9-$J$6)+$J$6</f>
        <v>4</v>
      </c>
      <c r="K47" s="175">
        <f>(入力!D110/0.7)*(K9-$K$6)+$K$6</f>
        <v>6</v>
      </c>
      <c r="L47" s="926">
        <f>ROUND((入力!D110/0.7)*(L9-$L$6)+$L$6,1)</f>
        <v>8</v>
      </c>
      <c r="M47" s="177">
        <f>(入力!D110/0.7)*(M9-$M$6)+$M$6</f>
        <v>9</v>
      </c>
      <c r="N47" s="175">
        <f>(入力!D110/0.7)*(N9-$N$6)+$N$6</f>
        <v>10</v>
      </c>
      <c r="O47" s="189">
        <f>ROUND((入力!D110/0.7)*(O9-$O$6)+$O$6,1)</f>
        <v>10</v>
      </c>
      <c r="P47" s="177">
        <f>(入力!D110/0.7)*(P9-$P$6)+$P$6</f>
        <v>10</v>
      </c>
      <c r="Q47" s="175">
        <f>(入力!D110/0.7)*(Q9-$Q$6)+$Q$6</f>
        <v>10</v>
      </c>
      <c r="R47" s="926">
        <f>ROUND((入力!D110/0.7)*(R9-$R$6)+$R$6,1)</f>
        <v>10</v>
      </c>
      <c r="S47" s="177">
        <f>(入力!D110/0.7)*(S9-$S$6)+$S$6</f>
        <v>9</v>
      </c>
      <c r="T47" s="104">
        <f>(入力!D110/0.7)*(T9-$T$6)+$T$6</f>
        <v>9</v>
      </c>
      <c r="U47" s="104">
        <f>(入力!D110/0.7)*(U9-$U$6)+$U$6</f>
        <v>9</v>
      </c>
      <c r="V47" s="104">
        <f>(入力!D110/0.7)*(V9-$V$6)+$V$6</f>
        <v>8</v>
      </c>
      <c r="W47" s="104">
        <f>(入力!D110/0.7)*(W9-$W$6)+$W$6</f>
        <v>8</v>
      </c>
      <c r="X47" s="104">
        <f>(入力!D110/0.7)*(X9-$X$6)+$X$6</f>
        <v>7</v>
      </c>
      <c r="Y47" s="146">
        <v>0</v>
      </c>
      <c r="Z47" s="146">
        <v>0</v>
      </c>
      <c r="AA47" s="146">
        <v>0</v>
      </c>
    </row>
    <row r="48" spans="2:27">
      <c r="B48" s="2048"/>
      <c r="C48" s="89" t="s">
        <v>144</v>
      </c>
      <c r="D48" s="146">
        <v>0</v>
      </c>
      <c r="E48" s="146">
        <v>0</v>
      </c>
      <c r="F48" s="146">
        <v>0</v>
      </c>
      <c r="G48" s="146">
        <v>0</v>
      </c>
      <c r="H48" s="104">
        <f>(入力!D111/0.7)*(H10-$H$6)+$H$6</f>
        <v>3</v>
      </c>
      <c r="I48" s="104">
        <f>(入力!D111/0.7)*(I10-$I$6)+$I$6</f>
        <v>3</v>
      </c>
      <c r="J48" s="104">
        <f>(入力!D111/0.7)*(J10-$J$6)+$J$6</f>
        <v>4</v>
      </c>
      <c r="K48" s="175">
        <f>(入力!D111/0.7)*(K10-$K$6)+$K$6</f>
        <v>7</v>
      </c>
      <c r="L48" s="926">
        <f>ROUND((入力!D111/0.7)*(L10-$L$6)+$L$6,1)</f>
        <v>9</v>
      </c>
      <c r="M48" s="177">
        <f>(入力!D111/0.7)*(M10-$M$6)+$M$6</f>
        <v>11</v>
      </c>
      <c r="N48" s="175">
        <f>(入力!D111/0.7)*(N10-$N$6)+$N$6</f>
        <v>13</v>
      </c>
      <c r="O48" s="189">
        <f>ROUND((入力!D111/0.7)*(O10-$O$6)+$O$6,1)</f>
        <v>13</v>
      </c>
      <c r="P48" s="177">
        <f>(入力!D111/0.7)*(P10-$P$6)+$P$6</f>
        <v>13</v>
      </c>
      <c r="Q48" s="175">
        <f>(入力!D111/0.7)*(Q10-$Q$6)+$Q$6</f>
        <v>13</v>
      </c>
      <c r="R48" s="926">
        <f>ROUND((入力!D111/0.7)*(R10-$R$6)+$R$6,1)</f>
        <v>12</v>
      </c>
      <c r="S48" s="177">
        <f>(入力!D111/0.7)*(S10-$S$6)+$S$6</f>
        <v>12</v>
      </c>
      <c r="T48" s="104">
        <f>(入力!D111/0.7)*(T10-$T$6)+$T$6</f>
        <v>11</v>
      </c>
      <c r="U48" s="104">
        <f>(入力!D111/0.7)*(U10-$U$6)+$U$6</f>
        <v>10</v>
      </c>
      <c r="V48" s="104">
        <f>(入力!D111/0.7)*(V10-$V$6)+$V$6</f>
        <v>10</v>
      </c>
      <c r="W48" s="104">
        <f>(入力!D111/0.7)*(W10-$W$6)+$W$6</f>
        <v>9</v>
      </c>
      <c r="X48" s="104">
        <f>(入力!D111/0.7)*(X10-$X$6)+$X$6</f>
        <v>8</v>
      </c>
      <c r="Y48" s="146">
        <v>0</v>
      </c>
      <c r="Z48" s="146">
        <v>0</v>
      </c>
      <c r="AA48" s="146">
        <v>0</v>
      </c>
    </row>
    <row r="49" spans="2:27">
      <c r="B49" s="2048"/>
      <c r="C49" s="89" t="s">
        <v>145</v>
      </c>
      <c r="D49" s="146">
        <v>0</v>
      </c>
      <c r="E49" s="146">
        <v>0</v>
      </c>
      <c r="F49" s="146">
        <v>0</v>
      </c>
      <c r="G49" s="146">
        <v>0</v>
      </c>
      <c r="H49" s="104">
        <f>(入力!D112/0.7)*(H11-$H$6)+$H$6</f>
        <v>3</v>
      </c>
      <c r="I49" s="104">
        <f>(入力!D112/0.7)*(I11-$I$6)+$I$6</f>
        <v>3</v>
      </c>
      <c r="J49" s="104">
        <f>(入力!D112/0.7)*(J11-$J$6)+$J$6</f>
        <v>4</v>
      </c>
      <c r="K49" s="175">
        <f>(入力!D112/0.7)*(K11-$K$6)+$K$6</f>
        <v>5</v>
      </c>
      <c r="L49" s="926">
        <f>ROUND((入力!D112/0.7)*(L11-$L$6)+$L$6,1)</f>
        <v>7</v>
      </c>
      <c r="M49" s="177">
        <f>(入力!D112/0.7)*(M11-$M$6)+$M$6</f>
        <v>9</v>
      </c>
      <c r="N49" s="175">
        <f>(入力!D112/0.7)*(N11-$N$6)+$N$6</f>
        <v>10</v>
      </c>
      <c r="O49" s="189">
        <f>ROUND((入力!D112/0.7)*(O11-$O$6)+$O$6,1)</f>
        <v>12</v>
      </c>
      <c r="P49" s="177">
        <f>(入力!D112/0.7)*(P11-$P$6)+$P$6</f>
        <v>12</v>
      </c>
      <c r="Q49" s="175">
        <f>(入力!D112/0.7)*(Q11-$Q$6)+$Q$6</f>
        <v>12</v>
      </c>
      <c r="R49" s="926">
        <f>ROUND((入力!D112/0.7)*(R11-$R$6)+$R$6,1)</f>
        <v>12</v>
      </c>
      <c r="S49" s="177">
        <f>(入力!D112/0.7)*(S11-$S$6)+$S$6</f>
        <v>11</v>
      </c>
      <c r="T49" s="104">
        <f>(入力!D112/0.7)*(T11-$T$6)+$T$6</f>
        <v>11</v>
      </c>
      <c r="U49" s="104">
        <f>(入力!D112/0.7)*(U11-$U$6)+$U$6</f>
        <v>10</v>
      </c>
      <c r="V49" s="104">
        <f>(入力!D112/0.7)*(V11-$V$6)+$V$6</f>
        <v>9</v>
      </c>
      <c r="W49" s="104">
        <f>(入力!D112/0.7)*(W11-$W$6)+$W$6</f>
        <v>9</v>
      </c>
      <c r="X49" s="104">
        <f>(入力!D112/0.7)*(X11-$X$6)+$X$6</f>
        <v>8</v>
      </c>
      <c r="Y49" s="146">
        <v>0</v>
      </c>
      <c r="Z49" s="146">
        <v>0</v>
      </c>
      <c r="AA49" s="146">
        <v>0</v>
      </c>
    </row>
    <row r="50" spans="2:27">
      <c r="B50" s="2048"/>
      <c r="C50" s="89" t="s">
        <v>146</v>
      </c>
      <c r="D50" s="146">
        <v>0</v>
      </c>
      <c r="E50" s="146">
        <v>0</v>
      </c>
      <c r="F50" s="146">
        <v>0</v>
      </c>
      <c r="G50" s="146">
        <v>0</v>
      </c>
      <c r="H50" s="104">
        <f>(入力!D113/0.7)*(H12-$H$6)+$H$6</f>
        <v>3</v>
      </c>
      <c r="I50" s="104">
        <f>(入力!D113/0.7)*(I12-$I$6)+$I$6</f>
        <v>3</v>
      </c>
      <c r="J50" s="104">
        <f>(入力!D113/0.7)*(J12-$J$6)+$J$6</f>
        <v>2</v>
      </c>
      <c r="K50" s="175">
        <f>(入力!D113/0.7)*(K12-$K$6)+$K$6</f>
        <v>3</v>
      </c>
      <c r="L50" s="926">
        <f>ROUND((入力!D113/0.7)*(L12-$L$6)+$L$6,1)</f>
        <v>3</v>
      </c>
      <c r="M50" s="177">
        <f>(入力!D113/0.7)*(M12-$M$6)+$M$6</f>
        <v>4</v>
      </c>
      <c r="N50" s="175">
        <f>(入力!D113/0.7)*(N12-$N$6)+$N$6</f>
        <v>5</v>
      </c>
      <c r="O50" s="189">
        <f>ROUND((入力!D113/0.7)*(O12-$O$6)+$O$6,1)</f>
        <v>6</v>
      </c>
      <c r="P50" s="177">
        <f>(入力!D113/0.7)*(P12-$P$6)+$P$6</f>
        <v>8</v>
      </c>
      <c r="Q50" s="175">
        <f>(入力!D113/0.7)*(Q12-$Q$6)+$Q$6</f>
        <v>9</v>
      </c>
      <c r="R50" s="926">
        <f>ROUND((入力!D113/0.7)*(R12-$R$6)+$R$6,1)</f>
        <v>10</v>
      </c>
      <c r="S50" s="177">
        <f>(入力!D113/0.7)*(S12-$S$6)+$S$6</f>
        <v>10</v>
      </c>
      <c r="T50" s="104">
        <f>(入力!D113/0.7)*(T12-$T$6)+$T$6</f>
        <v>10</v>
      </c>
      <c r="U50" s="104">
        <f>(入力!D113/0.7)*(U12-$U$6)+$U$6</f>
        <v>10</v>
      </c>
      <c r="V50" s="104">
        <f>(入力!D113/0.7)*(V12-$V$6)+$V$6</f>
        <v>9</v>
      </c>
      <c r="W50" s="104">
        <f>(入力!D113/0.7)*(W12-$W$6)+$W$6</f>
        <v>8</v>
      </c>
      <c r="X50" s="104">
        <f>(入力!D113/0.7)*(X12-$X$6)+$X$6</f>
        <v>8</v>
      </c>
      <c r="Y50" s="146">
        <v>0</v>
      </c>
      <c r="Z50" s="146">
        <v>0</v>
      </c>
      <c r="AA50" s="146">
        <v>0</v>
      </c>
    </row>
    <row r="51" spans="2:27">
      <c r="B51" s="2048"/>
      <c r="C51" s="89" t="s">
        <v>147</v>
      </c>
      <c r="D51" s="146">
        <v>0</v>
      </c>
      <c r="E51" s="146">
        <v>0</v>
      </c>
      <c r="F51" s="146">
        <v>0</v>
      </c>
      <c r="G51" s="146">
        <v>0</v>
      </c>
      <c r="H51" s="104">
        <f>(入力!D114/0.7)*(H13-$H$6)+$H$6</f>
        <v>4</v>
      </c>
      <c r="I51" s="104">
        <f>(入力!D114/0.7)*(I13-$I$6)+$I$6</f>
        <v>3</v>
      </c>
      <c r="J51" s="104">
        <f>(入力!D114/0.7)*(J13-$J$6)+$J$6</f>
        <v>3</v>
      </c>
      <c r="K51" s="175">
        <f>(入力!D114/0.7)*(K13-$K$6)+$K$6</f>
        <v>3</v>
      </c>
      <c r="L51" s="926">
        <f>ROUND((入力!D114/0.7)*(L13-$L$6)+$L$6,1)</f>
        <v>3</v>
      </c>
      <c r="M51" s="177">
        <f>(入力!D114/0.7)*(M13-$M$6)+$M$6</f>
        <v>4</v>
      </c>
      <c r="N51" s="175">
        <f>(入力!D114/0.7)*(N13-$N$6)+$N$6</f>
        <v>4</v>
      </c>
      <c r="O51" s="189">
        <f>ROUND((入力!D114/0.7)*(O13-$O$6)+$O$6,1)</f>
        <v>5</v>
      </c>
      <c r="P51" s="177">
        <f>(入力!D114/0.7)*(P13-$P$6)+$P$6</f>
        <v>6</v>
      </c>
      <c r="Q51" s="175">
        <f>(入力!D114/0.7)*(Q13-$Q$6)+$Q$6</f>
        <v>8</v>
      </c>
      <c r="R51" s="926">
        <f>ROUND((入力!D114/0.7)*(R13-$R$6)+$R$6,1)</f>
        <v>10</v>
      </c>
      <c r="S51" s="177">
        <f>(入力!D114/0.7)*(S13-$S$6)+$S$6</f>
        <v>12</v>
      </c>
      <c r="T51" s="104">
        <f>(入力!D114/0.7)*(T13-$T$6)+$T$6</f>
        <v>13</v>
      </c>
      <c r="U51" s="104">
        <f>(入力!D114/0.7)*(U13-$U$6)+$U$6</f>
        <v>14</v>
      </c>
      <c r="V51" s="104">
        <f>(入力!D114/0.7)*(V13-$V$6)+$V$6</f>
        <v>14</v>
      </c>
      <c r="W51" s="104">
        <f>(入力!D114/0.7)*(W13-$W$6)+$W$6</f>
        <v>13</v>
      </c>
      <c r="X51" s="104">
        <f>(入力!D114/0.7)*(X13-$X$6)+$X$6</f>
        <v>12</v>
      </c>
      <c r="Y51" s="146">
        <v>0</v>
      </c>
      <c r="Z51" s="146">
        <v>0</v>
      </c>
      <c r="AA51" s="146">
        <v>0</v>
      </c>
    </row>
    <row r="52" spans="2:27">
      <c r="B52" s="2048"/>
      <c r="C52" s="89" t="s">
        <v>148</v>
      </c>
      <c r="D52" s="146">
        <v>0</v>
      </c>
      <c r="E52" s="146">
        <v>0</v>
      </c>
      <c r="F52" s="146">
        <v>0</v>
      </c>
      <c r="G52" s="146">
        <v>0</v>
      </c>
      <c r="H52" s="104">
        <f>(入力!D115/0.7)*(H14-$H$6)+$H$6</f>
        <v>4</v>
      </c>
      <c r="I52" s="104">
        <f>(入力!D115/0.7)*(I14-$I$6)+$I$6</f>
        <v>4</v>
      </c>
      <c r="J52" s="104">
        <f>(入力!D115/0.7)*(J14-$J$6)+$J$6</f>
        <v>3</v>
      </c>
      <c r="K52" s="175">
        <f>(入力!D115/0.7)*(K14-$K$6)+$K$6</f>
        <v>3</v>
      </c>
      <c r="L52" s="926">
        <f>ROUND((入力!D115/0.7)*(L14-$L$6)+$L$6,1)</f>
        <v>3</v>
      </c>
      <c r="M52" s="177">
        <f>(入力!D115/0.7)*(M14-$M$6)+$M$6</f>
        <v>4</v>
      </c>
      <c r="N52" s="175">
        <f>(入力!D115/0.7)*(N14-$N$6)+$N$6</f>
        <v>4</v>
      </c>
      <c r="O52" s="189">
        <f>ROUND((入力!D115/0.7)*(O14-$O$6)+$O$6,1)</f>
        <v>5</v>
      </c>
      <c r="P52" s="177">
        <f>(入力!D115/0.7)*(P14-$P$6)+$P$6</f>
        <v>6</v>
      </c>
      <c r="Q52" s="175">
        <f>(入力!D115/0.7)*(Q14-$Q$6)+$Q$6</f>
        <v>7</v>
      </c>
      <c r="R52" s="926">
        <f>ROUND((入力!D115/0.7)*(R14-$R$6)+$R$6,1)</f>
        <v>9</v>
      </c>
      <c r="S52" s="177">
        <f>(入力!D115/0.7)*(S14-$S$6)+$S$6</f>
        <v>12</v>
      </c>
      <c r="T52" s="104">
        <f>(入力!D115/0.7)*(T14-$T$6)+$T$6</f>
        <v>14</v>
      </c>
      <c r="U52" s="104">
        <f>(入力!D115/0.7)*(U14-$U$6)+$U$6</f>
        <v>16</v>
      </c>
      <c r="V52" s="104">
        <f>(入力!D115/0.7)*(V14-$V$6)+$V$6</f>
        <v>16</v>
      </c>
      <c r="W52" s="104">
        <f>(入力!D115/0.7)*(W14-$W$6)+$W$6</f>
        <v>16</v>
      </c>
      <c r="X52" s="104">
        <f>(入力!D115/0.7)*(X14-$X$6)+$X$6</f>
        <v>14</v>
      </c>
      <c r="Y52" s="146">
        <v>0</v>
      </c>
      <c r="Z52" s="146">
        <v>0</v>
      </c>
      <c r="AA52" s="146">
        <v>0</v>
      </c>
    </row>
    <row r="53" spans="2:27">
      <c r="B53" s="2048"/>
      <c r="C53" s="89" t="s">
        <v>149</v>
      </c>
      <c r="D53" s="146">
        <v>0</v>
      </c>
      <c r="E53" s="146">
        <v>0</v>
      </c>
      <c r="F53" s="146">
        <v>0</v>
      </c>
      <c r="G53" s="146">
        <v>0</v>
      </c>
      <c r="H53" s="104">
        <f>(入力!D116/0.7)*(H15-$H$6)+$H$6</f>
        <v>4</v>
      </c>
      <c r="I53" s="104">
        <f>(入力!D116/0.7)*(I15-$I$6)+$I$6</f>
        <v>3</v>
      </c>
      <c r="J53" s="104">
        <f>(入力!D116/0.7)*(J15-$J$6)+$J$6</f>
        <v>3</v>
      </c>
      <c r="K53" s="175">
        <f>(入力!D116/0.7)*(K15-$K$6)+$K$6</f>
        <v>3</v>
      </c>
      <c r="L53" s="926">
        <f>ROUND((入力!D116/0.7)*(L15-$L$6)+$L$6,1)</f>
        <v>3</v>
      </c>
      <c r="M53" s="177">
        <f>(入力!D116/0.7)*(M15-$M$6)+$M$6</f>
        <v>4</v>
      </c>
      <c r="N53" s="175">
        <f>(入力!D116/0.7)*(N15-$N$6)+$N$6</f>
        <v>4</v>
      </c>
      <c r="O53" s="189">
        <f>ROUND((入力!D116/0.7)*(O15-$O$6)+$O$6,1)</f>
        <v>5</v>
      </c>
      <c r="P53" s="177">
        <f>(入力!D116/0.7)*(P15-$P$6)+$P$6</f>
        <v>5</v>
      </c>
      <c r="Q53" s="175">
        <f>(入力!D116/0.7)*(Q15-$Q$6)+$Q$6</f>
        <v>6</v>
      </c>
      <c r="R53" s="926">
        <f>ROUND((入力!D116/0.7)*(R15-$R$6)+$R$6,1)</f>
        <v>7</v>
      </c>
      <c r="S53" s="177">
        <f>(入力!D116/0.7)*(S15-$S$6)+$S$6</f>
        <v>9</v>
      </c>
      <c r="T53" s="104">
        <f>(入力!D116/0.7)*(T15-$T$6)+$T$6</f>
        <v>11</v>
      </c>
      <c r="U53" s="104">
        <f>(入力!D116/0.7)*(U15-$U$6)+$U$6</f>
        <v>12</v>
      </c>
      <c r="V53" s="104">
        <f>(入力!D116/0.7)*(V15-$V$6)+$V$6</f>
        <v>13</v>
      </c>
      <c r="W53" s="104">
        <f>(入力!D116/0.7)*(W15-$W$6)+$W$6</f>
        <v>13</v>
      </c>
      <c r="X53" s="104">
        <f>(入力!D116/0.7)*(X15-$X$6)+$X$6</f>
        <v>12</v>
      </c>
      <c r="Y53" s="146">
        <v>0</v>
      </c>
      <c r="Z53" s="146">
        <v>0</v>
      </c>
      <c r="AA53" s="146">
        <v>0</v>
      </c>
    </row>
    <row r="55" spans="2:27">
      <c r="B55" s="90" t="s">
        <v>364</v>
      </c>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row>
    <row r="56" spans="2:27" ht="13.5" thickBot="1">
      <c r="B56" s="2046" t="s">
        <v>138</v>
      </c>
      <c r="C56" s="2046" t="s">
        <v>50</v>
      </c>
      <c r="D56" s="2046" t="s">
        <v>139</v>
      </c>
      <c r="E56" s="2046"/>
      <c r="F56" s="2046"/>
      <c r="G56" s="2046"/>
      <c r="H56" s="2046"/>
      <c r="I56" s="2046"/>
      <c r="J56" s="2046"/>
      <c r="K56" s="2046"/>
      <c r="L56" s="2051"/>
      <c r="M56" s="2046"/>
      <c r="N56" s="2046"/>
      <c r="O56" s="2051"/>
      <c r="P56" s="2046"/>
      <c r="Q56" s="2046"/>
      <c r="R56" s="2051"/>
      <c r="S56" s="2046"/>
      <c r="T56" s="2046"/>
      <c r="U56" s="2046"/>
      <c r="V56" s="2046"/>
      <c r="W56" s="2046"/>
      <c r="X56" s="2046"/>
      <c r="Y56" s="2046"/>
      <c r="Z56" s="2046"/>
      <c r="AA56" s="2046"/>
    </row>
    <row r="57" spans="2:27">
      <c r="B57" s="2046"/>
      <c r="C57" s="2046"/>
      <c r="D57" s="146">
        <v>1</v>
      </c>
      <c r="E57" s="146">
        <v>2</v>
      </c>
      <c r="F57" s="146">
        <v>3</v>
      </c>
      <c r="G57" s="146">
        <v>4</v>
      </c>
      <c r="H57" s="96">
        <v>5</v>
      </c>
      <c r="I57" s="96">
        <v>6</v>
      </c>
      <c r="J57" s="96">
        <v>7</v>
      </c>
      <c r="K57" s="143">
        <v>8</v>
      </c>
      <c r="L57" s="145">
        <v>9</v>
      </c>
      <c r="M57" s="144">
        <v>10</v>
      </c>
      <c r="N57" s="143">
        <v>11</v>
      </c>
      <c r="O57" s="145">
        <v>12</v>
      </c>
      <c r="P57" s="144">
        <v>13</v>
      </c>
      <c r="Q57" s="143">
        <v>14</v>
      </c>
      <c r="R57" s="145">
        <v>15</v>
      </c>
      <c r="S57" s="144">
        <v>16</v>
      </c>
      <c r="T57" s="96">
        <v>17</v>
      </c>
      <c r="U57" s="96">
        <v>18</v>
      </c>
      <c r="V57" s="96">
        <v>19</v>
      </c>
      <c r="W57" s="96">
        <v>20</v>
      </c>
      <c r="X57" s="96">
        <v>21</v>
      </c>
      <c r="Y57" s="146">
        <v>22</v>
      </c>
      <c r="Z57" s="146">
        <v>23</v>
      </c>
      <c r="AA57" s="146">
        <v>24</v>
      </c>
    </row>
    <row r="58" spans="2:27">
      <c r="B58" s="2046" t="s">
        <v>189</v>
      </c>
      <c r="C58" s="96" t="s">
        <v>140</v>
      </c>
      <c r="D58" s="146">
        <v>0</v>
      </c>
      <c r="E58" s="146">
        <v>0</v>
      </c>
      <c r="F58" s="146">
        <v>0</v>
      </c>
      <c r="G58" s="146">
        <v>0</v>
      </c>
      <c r="H58" s="97">
        <f>H44+'実効温度差（ETD)諸言'!$G$38</f>
        <v>1.0999999999999979</v>
      </c>
      <c r="I58" s="97">
        <f>I44+'実効温度差（ETD)諸言'!$G$38</f>
        <v>1.0999999999999979</v>
      </c>
      <c r="J58" s="97">
        <f>J44+'実効温度差（ETD)諸言'!$G$38</f>
        <v>1.0999999999999979</v>
      </c>
      <c r="K58" s="98">
        <f>K44+'実効温度差（ETD)諸言'!$G$38</f>
        <v>1.0999999999999979</v>
      </c>
      <c r="L58" s="919">
        <f>ROUND(L44+'実効温度差（ETD)諸言'!$G$38,1)</f>
        <v>1.1000000000000001</v>
      </c>
      <c r="M58" s="99">
        <f>M44+'実効温度差（ETD)諸言'!$G$38</f>
        <v>1.0999999999999979</v>
      </c>
      <c r="N58" s="98">
        <f>N44+'実効温度差（ETD)諸言'!$G$38</f>
        <v>2.0999999999999979</v>
      </c>
      <c r="O58" s="919">
        <f>ROUND(O44+'実効温度差（ETD)諸言'!$G$38,1)</f>
        <v>2.1</v>
      </c>
      <c r="P58" s="99">
        <f>P44+'実効温度差（ETD)諸言'!$G$38</f>
        <v>3.0999999999999979</v>
      </c>
      <c r="Q58" s="98">
        <f>Q44+'実効温度差（ETD)諸言'!$G$38</f>
        <v>3.0999999999999979</v>
      </c>
      <c r="R58" s="919">
        <f>ROUND(R44+'実効温度差（ETD)諸言'!$G$38,1)</f>
        <v>4.0999999999999996</v>
      </c>
      <c r="S58" s="99">
        <f>S44+'実効温度差（ETD)諸言'!$G$38</f>
        <v>4.0999999999999979</v>
      </c>
      <c r="T58" s="97">
        <f>T44+'実効温度差（ETD)諸言'!$G$38</f>
        <v>5.0999999999999979</v>
      </c>
      <c r="U58" s="97">
        <f>U44+'実効温度差（ETD)諸言'!$G$38</f>
        <v>5.0999999999999979</v>
      </c>
      <c r="V58" s="97">
        <f>V44+'実効温度差（ETD)諸言'!$G$38</f>
        <v>5.0999999999999979</v>
      </c>
      <c r="W58" s="97">
        <f>W44+'実効温度差（ETD)諸言'!$G$38</f>
        <v>4.0999999999999979</v>
      </c>
      <c r="X58" s="97">
        <f>X44+'実効温度差（ETD)諸言'!$G$38</f>
        <v>4.0999999999999979</v>
      </c>
      <c r="Y58" s="146">
        <v>0</v>
      </c>
      <c r="Z58" s="146">
        <v>0</v>
      </c>
      <c r="AA58" s="146">
        <v>0</v>
      </c>
    </row>
    <row r="59" spans="2:27">
      <c r="B59" s="2046"/>
      <c r="C59" s="96" t="s">
        <v>141</v>
      </c>
      <c r="D59" s="146">
        <v>0</v>
      </c>
      <c r="E59" s="146">
        <v>0</v>
      </c>
      <c r="F59" s="146">
        <v>0</v>
      </c>
      <c r="G59" s="146">
        <v>0</v>
      </c>
      <c r="H59" s="97">
        <f>ROUND(H45+'実効温度差（ETD)諸言'!$G$38,1)</f>
        <v>4.0999999999999996</v>
      </c>
      <c r="I59" s="97">
        <f>ROUND(I45+'実効温度差（ETD)諸言'!$G$38,1)</f>
        <v>3.1</v>
      </c>
      <c r="J59" s="97">
        <f>ROUND(J45+'実効温度差（ETD)諸言'!$G$38,1)</f>
        <v>4.0999999999999996</v>
      </c>
      <c r="K59" s="97">
        <f>ROUND(K45+'実効温度差（ETD)諸言'!$G$38,1)</f>
        <v>5.0999999999999996</v>
      </c>
      <c r="L59" s="919">
        <f>ROUND(L45+'実効温度差（ETD)諸言'!$G$38,1)</f>
        <v>7.1</v>
      </c>
      <c r="M59" s="99">
        <f>ROUND(M45+'実効温度差（ETD)諸言'!$G$38,1)</f>
        <v>9.1</v>
      </c>
      <c r="N59" s="98">
        <f>ROUND(N45+'実効温度差（ETD)諸言'!$G$38,1)</f>
        <v>12.1</v>
      </c>
      <c r="O59" s="919">
        <f>ROUND(O45+'実効温度差（ETD)諸言'!$G$38,1)</f>
        <v>16.100000000000001</v>
      </c>
      <c r="P59" s="99">
        <f>ROUND(P45+'実効温度差（ETD)諸言'!$G$38,1)</f>
        <v>19.100000000000001</v>
      </c>
      <c r="Q59" s="98">
        <f>ROUND(Q45+'実効温度差（ETD)諸言'!$G$38,1)</f>
        <v>21.1</v>
      </c>
      <c r="R59" s="919">
        <f>ROUND(R45+'実効温度差（ETD)諸言'!$G$38,1)</f>
        <v>23.1</v>
      </c>
      <c r="S59" s="99">
        <f>ROUND(S45+'実効温度差（ETD)諸言'!$G$38,1)</f>
        <v>24.1</v>
      </c>
      <c r="T59" s="97">
        <f>ROUND(T45+'実効温度差（ETD)諸言'!$G$38,1)</f>
        <v>24.1</v>
      </c>
      <c r="U59" s="97">
        <f>ROUND(U45+'実効温度差（ETD)諸言'!$G$38,1)</f>
        <v>23.1</v>
      </c>
      <c r="V59" s="97">
        <f>ROUND(V45+'実効温度差（ETD)諸言'!$G$38,1)</f>
        <v>21.1</v>
      </c>
      <c r="W59" s="97">
        <f>ROUND(W45+'実効温度差（ETD)諸言'!$G$38,1)</f>
        <v>19.100000000000001</v>
      </c>
      <c r="X59" s="97">
        <f>ROUND(X45+'実効温度差（ETD)諸言'!$G$38,1)</f>
        <v>16.100000000000001</v>
      </c>
      <c r="Y59" s="146">
        <v>0</v>
      </c>
      <c r="Z59" s="146">
        <v>0</v>
      </c>
      <c r="AA59" s="146">
        <v>0</v>
      </c>
    </row>
    <row r="60" spans="2:27">
      <c r="B60" s="2046"/>
      <c r="C60" s="96" t="s">
        <v>142</v>
      </c>
      <c r="D60" s="146">
        <v>0</v>
      </c>
      <c r="E60" s="146">
        <v>0</v>
      </c>
      <c r="F60" s="146">
        <v>0</v>
      </c>
      <c r="G60" s="146">
        <v>0</v>
      </c>
      <c r="H60" s="97">
        <f>ROUND(H46+'実効温度差（ETD)諸言'!$G$38,1)</f>
        <v>2.1</v>
      </c>
      <c r="I60" s="97">
        <f>I46+'実効温度差（ETD)諸言'!$G$38</f>
        <v>2.0999999999999979</v>
      </c>
      <c r="J60" s="97">
        <f>J46+'実効温度差（ETD)諸言'!$G$38</f>
        <v>2.0999999999999979</v>
      </c>
      <c r="K60" s="98">
        <f>K46+'実効温度差（ETD)諸言'!$G$38</f>
        <v>2.0999999999999979</v>
      </c>
      <c r="L60" s="919">
        <f>ROUND(L46+'実効温度差（ETD)諸言'!$G$38,1)</f>
        <v>3.1</v>
      </c>
      <c r="M60" s="99">
        <f>M46+'実効温度差（ETD)諸言'!$G$38</f>
        <v>3.0999999999999979</v>
      </c>
      <c r="N60" s="98">
        <f>N46+'実効温度差（ETD)諸言'!$G$38</f>
        <v>3.0999999999999979</v>
      </c>
      <c r="O60" s="919">
        <f>ROUND(O46+'実効温度差（ETD)諸言'!$G$38,1)</f>
        <v>4.0999999999999996</v>
      </c>
      <c r="P60" s="99">
        <f>P46+'実効温度差（ETD)諸言'!$G$38</f>
        <v>5.0999999999999979</v>
      </c>
      <c r="Q60" s="98">
        <f>Q46+'実効温度差（ETD)諸言'!$G$38</f>
        <v>5.0999999999999979</v>
      </c>
      <c r="R60" s="919">
        <f>ROUND(R46+'実効温度差（ETD)諸言'!$G$38,1)</f>
        <v>6.1</v>
      </c>
      <c r="S60" s="99">
        <f>S46+'実効温度差（ETD)諸言'!$G$38</f>
        <v>6.0999999999999979</v>
      </c>
      <c r="T60" s="97">
        <f>T46+'実効温度差（ETD)諸言'!$G$38</f>
        <v>6.0999999999999979</v>
      </c>
      <c r="U60" s="97">
        <f>U46+'実効温度差（ETD)諸言'!$G$38</f>
        <v>7.0999999999999979</v>
      </c>
      <c r="V60" s="97">
        <f>V46+'実効温度差（ETD)諸言'!$G$38</f>
        <v>7.0999999999999979</v>
      </c>
      <c r="W60" s="97">
        <f>W46+'実効温度差（ETD)諸言'!$G$38</f>
        <v>7.0999999999999979</v>
      </c>
      <c r="X60" s="97">
        <f>X46+'実効温度差（ETD)諸言'!$G$38</f>
        <v>6.0999999999999979</v>
      </c>
      <c r="Y60" s="146">
        <v>0</v>
      </c>
      <c r="Z60" s="146">
        <v>0</v>
      </c>
      <c r="AA60" s="146">
        <v>0</v>
      </c>
    </row>
    <row r="61" spans="2:27">
      <c r="B61" s="2046"/>
      <c r="C61" s="96" t="s">
        <v>143</v>
      </c>
      <c r="D61" s="146">
        <v>0</v>
      </c>
      <c r="E61" s="146">
        <v>0</v>
      </c>
      <c r="F61" s="146">
        <v>0</v>
      </c>
      <c r="G61" s="146">
        <v>0</v>
      </c>
      <c r="H61" s="97">
        <f>H47+'実効温度差（ETD)諸言'!$G$38</f>
        <v>2.0999999999999979</v>
      </c>
      <c r="I61" s="97">
        <f>I47+'実効温度差（ETD)諸言'!$G$38</f>
        <v>2.0999999999999979</v>
      </c>
      <c r="J61" s="97">
        <f>J47+'実効温度差（ETD)諸言'!$G$38</f>
        <v>3.0999999999999979</v>
      </c>
      <c r="K61" s="98">
        <f>K47+'実効温度差（ETD)諸言'!$G$38</f>
        <v>5.0999999999999979</v>
      </c>
      <c r="L61" s="919">
        <f>ROUND(L47+'実効温度差（ETD)諸言'!$G$38,1)</f>
        <v>7.1</v>
      </c>
      <c r="M61" s="99">
        <f>M47+'実効温度差（ETD)諸言'!$G$38</f>
        <v>8.0999999999999979</v>
      </c>
      <c r="N61" s="98">
        <f>N47+'実効温度差（ETD)諸言'!$G$38</f>
        <v>9.0999999999999979</v>
      </c>
      <c r="O61" s="919">
        <f>ROUND(O47+'実効温度差（ETD)諸言'!$G$38,1)</f>
        <v>9.1</v>
      </c>
      <c r="P61" s="99">
        <f>P47+'実効温度差（ETD)諸言'!$G$38</f>
        <v>9.0999999999999979</v>
      </c>
      <c r="Q61" s="98">
        <f>Q47+'実効温度差（ETD)諸言'!$G$38</f>
        <v>9.0999999999999979</v>
      </c>
      <c r="R61" s="919">
        <f>ROUND(R47+'実効温度差（ETD)諸言'!$G$38,1)</f>
        <v>9.1</v>
      </c>
      <c r="S61" s="99">
        <f>S47+'実効温度差（ETD)諸言'!$G$38</f>
        <v>8.0999999999999979</v>
      </c>
      <c r="T61" s="97">
        <f>T47+'実効温度差（ETD)諸言'!$G$38</f>
        <v>8.0999999999999979</v>
      </c>
      <c r="U61" s="97">
        <f>U47+'実効温度差（ETD)諸言'!$G$38</f>
        <v>8.0999999999999979</v>
      </c>
      <c r="V61" s="97">
        <f>V47+'実効温度差（ETD)諸言'!$G$38</f>
        <v>7.0999999999999979</v>
      </c>
      <c r="W61" s="97">
        <f>W47+'実効温度差（ETD)諸言'!$G$38</f>
        <v>7.0999999999999979</v>
      </c>
      <c r="X61" s="97">
        <f>X47+'実効温度差（ETD)諸言'!$G$38</f>
        <v>6.0999999999999979</v>
      </c>
      <c r="Y61" s="146">
        <v>0</v>
      </c>
      <c r="Z61" s="146">
        <v>0</v>
      </c>
      <c r="AA61" s="146">
        <v>0</v>
      </c>
    </row>
    <row r="62" spans="2:27">
      <c r="B62" s="2046"/>
      <c r="C62" s="96" t="s">
        <v>144</v>
      </c>
      <c r="D62" s="146">
        <v>0</v>
      </c>
      <c r="E62" s="146">
        <v>0</v>
      </c>
      <c r="F62" s="146">
        <v>0</v>
      </c>
      <c r="G62" s="146">
        <v>0</v>
      </c>
      <c r="H62" s="97">
        <f>H48+'実効温度差（ETD)諸言'!$G$38</f>
        <v>2.0999999999999979</v>
      </c>
      <c r="I62" s="97">
        <f>I48+'実効温度差（ETD)諸言'!$G$38</f>
        <v>2.0999999999999979</v>
      </c>
      <c r="J62" s="97">
        <f>J48+'実効温度差（ETD)諸言'!$G$38</f>
        <v>3.0999999999999979</v>
      </c>
      <c r="K62" s="98">
        <f>K48+'実効温度差（ETD)諸言'!$G$38</f>
        <v>6.0999999999999979</v>
      </c>
      <c r="L62" s="919">
        <f>ROUND(L48+'実効温度差（ETD)諸言'!$G$38,1)</f>
        <v>8.1</v>
      </c>
      <c r="M62" s="99">
        <f>M48+'実効温度差（ETD)諸言'!$G$38</f>
        <v>10.099999999999998</v>
      </c>
      <c r="N62" s="98">
        <f>N48+'実効温度差（ETD)諸言'!$G$38</f>
        <v>12.099999999999998</v>
      </c>
      <c r="O62" s="919">
        <f>ROUND(O48+'実効温度差（ETD)諸言'!$G$38,1)</f>
        <v>12.1</v>
      </c>
      <c r="P62" s="99">
        <f>P48+'実効温度差（ETD)諸言'!$G$38</f>
        <v>12.099999999999998</v>
      </c>
      <c r="Q62" s="98">
        <f>Q48+'実効温度差（ETD)諸言'!$G$38</f>
        <v>12.099999999999998</v>
      </c>
      <c r="R62" s="919">
        <f>ROUND(R48+'実効温度差（ETD)諸言'!$G$38,1)</f>
        <v>11.1</v>
      </c>
      <c r="S62" s="99">
        <f>S48+'実効温度差（ETD)諸言'!$G$38</f>
        <v>11.099999999999998</v>
      </c>
      <c r="T62" s="97">
        <f>T48+'実効温度差（ETD)諸言'!$G$38</f>
        <v>10.099999999999998</v>
      </c>
      <c r="U62" s="97">
        <f>U48+'実効温度差（ETD)諸言'!$G$38</f>
        <v>9.0999999999999979</v>
      </c>
      <c r="V62" s="97">
        <f>V48+'実効温度差（ETD)諸言'!$G$38</f>
        <v>9.0999999999999979</v>
      </c>
      <c r="W62" s="97">
        <f>W48+'実効温度差（ETD)諸言'!$G$38</f>
        <v>8.0999999999999979</v>
      </c>
      <c r="X62" s="97">
        <f>X48+'実効温度差（ETD)諸言'!$G$38</f>
        <v>7.0999999999999979</v>
      </c>
      <c r="Y62" s="146">
        <v>0</v>
      </c>
      <c r="Z62" s="146">
        <v>0</v>
      </c>
      <c r="AA62" s="146">
        <v>0</v>
      </c>
    </row>
    <row r="63" spans="2:27">
      <c r="B63" s="2046"/>
      <c r="C63" s="96" t="s">
        <v>145</v>
      </c>
      <c r="D63" s="146">
        <v>0</v>
      </c>
      <c r="E63" s="146">
        <v>0</v>
      </c>
      <c r="F63" s="146">
        <v>0</v>
      </c>
      <c r="G63" s="146">
        <v>0</v>
      </c>
      <c r="H63" s="97">
        <f>H49+'実効温度差（ETD)諸言'!$G$38</f>
        <v>2.0999999999999979</v>
      </c>
      <c r="I63" s="97">
        <f>I49+'実効温度差（ETD)諸言'!$G$38</f>
        <v>2.0999999999999979</v>
      </c>
      <c r="J63" s="97">
        <f>J49+'実効温度差（ETD)諸言'!$G$38</f>
        <v>3.0999999999999979</v>
      </c>
      <c r="K63" s="98">
        <f>K49+'実効温度差（ETD)諸言'!$G$38</f>
        <v>4.0999999999999979</v>
      </c>
      <c r="L63" s="919">
        <f>ROUND(L49+'実効温度差（ETD)諸言'!$G$38,1)</f>
        <v>6.1</v>
      </c>
      <c r="M63" s="99">
        <f>M49+'実効温度差（ETD)諸言'!$G$38</f>
        <v>8.0999999999999979</v>
      </c>
      <c r="N63" s="98">
        <f>N49+'実効温度差（ETD)諸言'!$G$38</f>
        <v>9.0999999999999979</v>
      </c>
      <c r="O63" s="919">
        <f>ROUND(O49+'実効温度差（ETD)諸言'!$G$38,1)</f>
        <v>11.1</v>
      </c>
      <c r="P63" s="99">
        <f>P49+'実効温度差（ETD)諸言'!$G$38</f>
        <v>11.099999999999998</v>
      </c>
      <c r="Q63" s="98">
        <f>Q49+'実効温度差（ETD)諸言'!$G$38</f>
        <v>11.099999999999998</v>
      </c>
      <c r="R63" s="919">
        <f>ROUND(R49+'実効温度差（ETD)諸言'!$G$38,1)</f>
        <v>11.1</v>
      </c>
      <c r="S63" s="99">
        <f>S49+'実効温度差（ETD)諸言'!$G$38</f>
        <v>10.099999999999998</v>
      </c>
      <c r="T63" s="97">
        <f>T49+'実効温度差（ETD)諸言'!$G$38</f>
        <v>10.099999999999998</v>
      </c>
      <c r="U63" s="97">
        <f>U49+'実効温度差（ETD)諸言'!$G$38</f>
        <v>9.0999999999999979</v>
      </c>
      <c r="V63" s="97">
        <f>V49+'実効温度差（ETD)諸言'!$G$38</f>
        <v>8.0999999999999979</v>
      </c>
      <c r="W63" s="97">
        <f>W49+'実効温度差（ETD)諸言'!$G$38</f>
        <v>8.0999999999999979</v>
      </c>
      <c r="X63" s="97">
        <f>X49+'実効温度差（ETD)諸言'!$G$38</f>
        <v>7.0999999999999979</v>
      </c>
      <c r="Y63" s="146">
        <v>0</v>
      </c>
      <c r="Z63" s="146">
        <v>0</v>
      </c>
      <c r="AA63" s="146">
        <v>0</v>
      </c>
    </row>
    <row r="64" spans="2:27">
      <c r="B64" s="2046"/>
      <c r="C64" s="96" t="s">
        <v>146</v>
      </c>
      <c r="D64" s="146">
        <v>0</v>
      </c>
      <c r="E64" s="146">
        <v>0</v>
      </c>
      <c r="F64" s="146">
        <v>0</v>
      </c>
      <c r="G64" s="146">
        <v>0</v>
      </c>
      <c r="H64" s="97">
        <f>H50+'実効温度差（ETD)諸言'!$G$38</f>
        <v>2.0999999999999979</v>
      </c>
      <c r="I64" s="97">
        <f>I50+'実効温度差（ETD)諸言'!$G$38</f>
        <v>2.0999999999999979</v>
      </c>
      <c r="J64" s="97">
        <f>J50+'実効温度差（ETD)諸言'!$G$38</f>
        <v>1.0999999999999979</v>
      </c>
      <c r="K64" s="98">
        <f>K50+'実効温度差（ETD)諸言'!$G$38</f>
        <v>2.0999999999999979</v>
      </c>
      <c r="L64" s="919">
        <f>ROUND(L50+'実効温度差（ETD)諸言'!$G$38,1)</f>
        <v>2.1</v>
      </c>
      <c r="M64" s="99">
        <f>M50+'実効温度差（ETD)諸言'!$G$38</f>
        <v>3.0999999999999979</v>
      </c>
      <c r="N64" s="98">
        <f>N50+'実効温度差（ETD)諸言'!$G$38</f>
        <v>4.0999999999999979</v>
      </c>
      <c r="O64" s="919">
        <f>ROUND(O50+'実効温度差（ETD)諸言'!$G$38,1)</f>
        <v>5.0999999999999996</v>
      </c>
      <c r="P64" s="99">
        <f>P50+'実効温度差（ETD)諸言'!$G$38</f>
        <v>7.0999999999999979</v>
      </c>
      <c r="Q64" s="98">
        <f>Q50+'実効温度差（ETD)諸言'!$G$38</f>
        <v>8.0999999999999979</v>
      </c>
      <c r="R64" s="919">
        <f>ROUND(R50+'実効温度差（ETD)諸言'!$G$38,1)</f>
        <v>9.1</v>
      </c>
      <c r="S64" s="99">
        <f>S50+'実効温度差（ETD)諸言'!$G$38</f>
        <v>9.0999999999999979</v>
      </c>
      <c r="T64" s="97">
        <f>T50+'実効温度差（ETD)諸言'!$G$38</f>
        <v>9.0999999999999979</v>
      </c>
      <c r="U64" s="97">
        <f>U50+'実効温度差（ETD)諸言'!$G$38</f>
        <v>9.0999999999999979</v>
      </c>
      <c r="V64" s="97">
        <f>V50+'実効温度差（ETD)諸言'!$G$38</f>
        <v>8.0999999999999979</v>
      </c>
      <c r="W64" s="97">
        <f>W50+'実効温度差（ETD)諸言'!$G$38</f>
        <v>7.0999999999999979</v>
      </c>
      <c r="X64" s="97">
        <f>X50+'実効温度差（ETD)諸言'!$G$38</f>
        <v>7.0999999999999979</v>
      </c>
      <c r="Y64" s="146">
        <v>0</v>
      </c>
      <c r="Z64" s="146">
        <v>0</v>
      </c>
      <c r="AA64" s="146">
        <v>0</v>
      </c>
    </row>
    <row r="65" spans="2:27">
      <c r="B65" s="2046"/>
      <c r="C65" s="96" t="s">
        <v>147</v>
      </c>
      <c r="D65" s="146">
        <v>0</v>
      </c>
      <c r="E65" s="146">
        <v>0</v>
      </c>
      <c r="F65" s="146">
        <v>0</v>
      </c>
      <c r="G65" s="146">
        <v>0</v>
      </c>
      <c r="H65" s="97">
        <f>H51+'実効温度差（ETD)諸言'!$G$38</f>
        <v>3.0999999999999979</v>
      </c>
      <c r="I65" s="97">
        <f>I51+'実効温度差（ETD)諸言'!$G$38</f>
        <v>2.0999999999999979</v>
      </c>
      <c r="J65" s="97">
        <f>J51+'実効温度差（ETD)諸言'!$G$38</f>
        <v>2.0999999999999979</v>
      </c>
      <c r="K65" s="98">
        <f>K51+'実効温度差（ETD)諸言'!$G$38</f>
        <v>2.0999999999999979</v>
      </c>
      <c r="L65" s="919">
        <f>ROUND(L51+'実効温度差（ETD)諸言'!$G$38,1)</f>
        <v>2.1</v>
      </c>
      <c r="M65" s="99">
        <f>M51+'実効温度差（ETD)諸言'!$G$38</f>
        <v>3.0999999999999979</v>
      </c>
      <c r="N65" s="98">
        <f>N51+'実効温度差（ETD)諸言'!$G$38</f>
        <v>3.0999999999999979</v>
      </c>
      <c r="O65" s="919">
        <f>ROUND(O51+'実効温度差（ETD)諸言'!$G$38,1)</f>
        <v>4.0999999999999996</v>
      </c>
      <c r="P65" s="99">
        <f>P51+'実効温度差（ETD)諸言'!$G$38</f>
        <v>5.0999999999999979</v>
      </c>
      <c r="Q65" s="98">
        <f>Q51+'実効温度差（ETD)諸言'!$G$38</f>
        <v>7.0999999999999979</v>
      </c>
      <c r="R65" s="919">
        <f>ROUND(R51+'実効温度差（ETD)諸言'!$G$38,1)</f>
        <v>9.1</v>
      </c>
      <c r="S65" s="99">
        <f>S51+'実効温度差（ETD)諸言'!$G$38</f>
        <v>11.099999999999998</v>
      </c>
      <c r="T65" s="97">
        <f>T51+'実効温度差（ETD)諸言'!$G$38</f>
        <v>12.099999999999998</v>
      </c>
      <c r="U65" s="97">
        <f>U51+'実効温度差（ETD)諸言'!$G$38</f>
        <v>13.099999999999998</v>
      </c>
      <c r="V65" s="97">
        <f>V51+'実効温度差（ETD)諸言'!$G$38</f>
        <v>13.099999999999998</v>
      </c>
      <c r="W65" s="97">
        <f>W51+'実効温度差（ETD)諸言'!$G$38</f>
        <v>12.099999999999998</v>
      </c>
      <c r="X65" s="97">
        <f>X51+'実効温度差（ETD)諸言'!$G$38</f>
        <v>11.099999999999998</v>
      </c>
      <c r="Y65" s="146">
        <v>0</v>
      </c>
      <c r="Z65" s="146">
        <v>0</v>
      </c>
      <c r="AA65" s="146">
        <v>0</v>
      </c>
    </row>
    <row r="66" spans="2:27">
      <c r="B66" s="2046"/>
      <c r="C66" s="96" t="s">
        <v>148</v>
      </c>
      <c r="D66" s="146">
        <v>0</v>
      </c>
      <c r="E66" s="146">
        <v>0</v>
      </c>
      <c r="F66" s="146">
        <v>0</v>
      </c>
      <c r="G66" s="146">
        <v>0</v>
      </c>
      <c r="H66" s="97">
        <f>H52+'実効温度差（ETD)諸言'!$G$38</f>
        <v>3.0999999999999979</v>
      </c>
      <c r="I66" s="97">
        <f>I52+'実効温度差（ETD)諸言'!$G$38</f>
        <v>3.0999999999999979</v>
      </c>
      <c r="J66" s="97">
        <f>J52+'実効温度差（ETD)諸言'!$G$38</f>
        <v>2.0999999999999979</v>
      </c>
      <c r="K66" s="98">
        <f>K52+'実効温度差（ETD)諸言'!$G$38</f>
        <v>2.0999999999999979</v>
      </c>
      <c r="L66" s="919">
        <f>ROUND(L52+'実効温度差（ETD)諸言'!$G$38,1)</f>
        <v>2.1</v>
      </c>
      <c r="M66" s="99">
        <f>M52+'実効温度差（ETD)諸言'!$G$38</f>
        <v>3.0999999999999979</v>
      </c>
      <c r="N66" s="98">
        <f>N52+'実効温度差（ETD)諸言'!$G$38</f>
        <v>3.0999999999999979</v>
      </c>
      <c r="O66" s="919">
        <f>ROUND(O52+'実効温度差（ETD)諸言'!$G$38,1)</f>
        <v>4.0999999999999996</v>
      </c>
      <c r="P66" s="99">
        <f>P52+'実効温度差（ETD)諸言'!$G$38</f>
        <v>5.0999999999999979</v>
      </c>
      <c r="Q66" s="98">
        <f>Q52+'実効温度差（ETD)諸言'!$G$38</f>
        <v>6.0999999999999979</v>
      </c>
      <c r="R66" s="919">
        <f>ROUND(R52+'実効温度差（ETD)諸言'!$G$38,1)</f>
        <v>8.1</v>
      </c>
      <c r="S66" s="99">
        <f>S52+'実効温度差（ETD)諸言'!$G$38</f>
        <v>11.099999999999998</v>
      </c>
      <c r="T66" s="97">
        <f>T52+'実効温度差（ETD)諸言'!$G$38</f>
        <v>13.099999999999998</v>
      </c>
      <c r="U66" s="97">
        <f>U52+'実効温度差（ETD)諸言'!$G$38</f>
        <v>15.099999999999998</v>
      </c>
      <c r="V66" s="97">
        <f>V52+'実効温度差（ETD)諸言'!$G$38</f>
        <v>15.099999999999998</v>
      </c>
      <c r="W66" s="97">
        <f>W52+'実効温度差（ETD)諸言'!$G$38</f>
        <v>15.099999999999998</v>
      </c>
      <c r="X66" s="97">
        <f>X52+'実効温度差（ETD)諸言'!$G$38</f>
        <v>13.099999999999998</v>
      </c>
      <c r="Y66" s="146">
        <v>0</v>
      </c>
      <c r="Z66" s="146">
        <v>0</v>
      </c>
      <c r="AA66" s="146">
        <v>0</v>
      </c>
    </row>
    <row r="67" spans="2:27" ht="13.5" thickBot="1">
      <c r="B67" s="2046"/>
      <c r="C67" s="96" t="s">
        <v>149</v>
      </c>
      <c r="D67" s="146">
        <v>0</v>
      </c>
      <c r="E67" s="146">
        <v>0</v>
      </c>
      <c r="F67" s="146">
        <v>0</v>
      </c>
      <c r="G67" s="146">
        <v>0</v>
      </c>
      <c r="H67" s="97">
        <f>H53+'実効温度差（ETD)諸言'!$G$38</f>
        <v>3.0999999999999979</v>
      </c>
      <c r="I67" s="97">
        <f>I53+'実効温度差（ETD)諸言'!$G$38</f>
        <v>2.0999999999999979</v>
      </c>
      <c r="J67" s="97">
        <f>J53+'実効温度差（ETD)諸言'!$G$38</f>
        <v>2.0999999999999979</v>
      </c>
      <c r="K67" s="98">
        <f>K53+'実効温度差（ETD)諸言'!$G$38</f>
        <v>2.0999999999999979</v>
      </c>
      <c r="L67" s="920">
        <f>ROUND(L53+'実効温度差（ETD)諸言'!$G$38,1)</f>
        <v>2.1</v>
      </c>
      <c r="M67" s="99">
        <f>M53+'実効温度差（ETD)諸言'!$G$38</f>
        <v>3.0999999999999979</v>
      </c>
      <c r="N67" s="98">
        <f>N53+'実効温度差（ETD)諸言'!$G$38</f>
        <v>3.0999999999999979</v>
      </c>
      <c r="O67" s="920">
        <f>ROUND(O53+'実効温度差（ETD)諸言'!$G$38,1)</f>
        <v>4.0999999999999996</v>
      </c>
      <c r="P67" s="99">
        <f>P53+'実効温度差（ETD)諸言'!$G$38</f>
        <v>4.0999999999999979</v>
      </c>
      <c r="Q67" s="98">
        <f>Q53+'実効温度差（ETD)諸言'!$G$38</f>
        <v>5.0999999999999979</v>
      </c>
      <c r="R67" s="920">
        <f>ROUND(R53+'実効温度差（ETD)諸言'!$G$38,1)</f>
        <v>6.1</v>
      </c>
      <c r="S67" s="99">
        <f>S53+'実効温度差（ETD)諸言'!$G$38</f>
        <v>8.0999999999999979</v>
      </c>
      <c r="T67" s="97">
        <f>T53+'実効温度差（ETD)諸言'!$G$38</f>
        <v>10.099999999999998</v>
      </c>
      <c r="U67" s="97">
        <f>U53+'実効温度差（ETD)諸言'!$G$38</f>
        <v>11.099999999999998</v>
      </c>
      <c r="V67" s="97">
        <f>V53+'実効温度差（ETD)諸言'!$G$38</f>
        <v>12.099999999999998</v>
      </c>
      <c r="W67" s="97">
        <f>W53+'実効温度差（ETD)諸言'!$G$38</f>
        <v>12.099999999999998</v>
      </c>
      <c r="X67" s="97">
        <f>X53+'実効温度差（ETD)諸言'!$G$38</f>
        <v>11.099999999999998</v>
      </c>
      <c r="Y67" s="146">
        <v>0</v>
      </c>
      <c r="Z67" s="146">
        <v>0</v>
      </c>
      <c r="AA67" s="146">
        <v>0</v>
      </c>
    </row>
    <row r="70" spans="2:27">
      <c r="J70" s="100">
        <f>AVERAGE(J58:J67)</f>
        <v>2.3999999999999977</v>
      </c>
      <c r="K70" s="100">
        <f t="shared" ref="K70:U70" si="2">AVERAGE(K58:K67)</f>
        <v>3.1999999999999984</v>
      </c>
      <c r="L70" s="101">
        <f t="shared" si="2"/>
        <v>4.1000000000000005</v>
      </c>
      <c r="M70" s="100">
        <f t="shared" si="2"/>
        <v>5.1999999999999975</v>
      </c>
      <c r="N70" s="100">
        <f t="shared" si="2"/>
        <v>6.099999999999997</v>
      </c>
      <c r="O70" s="101">
        <f t="shared" si="2"/>
        <v>7.2</v>
      </c>
      <c r="P70" s="100">
        <f t="shared" si="2"/>
        <v>8.0999999999999961</v>
      </c>
      <c r="Q70" s="100">
        <f t="shared" si="2"/>
        <v>8.7999999999999954</v>
      </c>
      <c r="R70" s="101">
        <f t="shared" si="2"/>
        <v>9.6999999999999993</v>
      </c>
      <c r="S70" s="100">
        <f t="shared" si="2"/>
        <v>10.299999999999995</v>
      </c>
      <c r="T70" s="100">
        <f t="shared" si="2"/>
        <v>10.799999999999995</v>
      </c>
      <c r="U70" s="100">
        <f t="shared" si="2"/>
        <v>10.999999999999996</v>
      </c>
    </row>
    <row r="71" spans="2:27">
      <c r="B71" s="88" t="s">
        <v>1079</v>
      </c>
    </row>
    <row r="72" spans="2:27">
      <c r="B72" s="812">
        <v>44634</v>
      </c>
      <c r="C72" s="88" t="s">
        <v>1080</v>
      </c>
    </row>
    <row r="141" spans="3:3">
      <c r="C141" s="88" t="s">
        <v>382</v>
      </c>
    </row>
  </sheetData>
  <mergeCells count="16">
    <mergeCell ref="B44:B53"/>
    <mergeCell ref="B56:B57"/>
    <mergeCell ref="C56:C57"/>
    <mergeCell ref="D56:AA56"/>
    <mergeCell ref="B58:B67"/>
    <mergeCell ref="B20:B29"/>
    <mergeCell ref="B42:B43"/>
    <mergeCell ref="C42:C43"/>
    <mergeCell ref="D42:AA42"/>
    <mergeCell ref="B4:B5"/>
    <mergeCell ref="C4:C5"/>
    <mergeCell ref="D4:AA4"/>
    <mergeCell ref="B6:B15"/>
    <mergeCell ref="B18:B19"/>
    <mergeCell ref="C18:C19"/>
    <mergeCell ref="D18:AA18"/>
  </mergeCells>
  <phoneticPr fontId="2"/>
  <pageMargins left="0.7" right="0.7" top="0.75" bottom="0.75" header="0.3" footer="0.3"/>
  <pageSetup paperSize="9" orientation="landscape" r:id="rId1"/>
  <ignoredErrors>
    <ignoredError sqref="L22:L29 L20:L21 R20:R29 O20:O29 L58 O58 R58 L60:L67 O60:O67 R60:R67 R59 O59 L59 I59:K59 M59:N59 P59:Q59 S59:X59"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S21"/>
  <sheetViews>
    <sheetView topLeftCell="A10" workbookViewId="0">
      <selection activeCell="C67" sqref="C67"/>
    </sheetView>
  </sheetViews>
  <sheetFormatPr defaultRowHeight="13"/>
  <cols>
    <col min="1" max="2" width="9" style="127"/>
    <col min="3" max="3" width="4.7265625" style="127" bestFit="1" customWidth="1"/>
    <col min="4" max="16" width="5.36328125" style="127" bestFit="1" customWidth="1"/>
    <col min="17" max="17" width="3.6328125" style="127" bestFit="1" customWidth="1"/>
    <col min="18" max="18" width="9" style="127"/>
  </cols>
  <sheetData>
    <row r="1" spans="2:19">
      <c r="B1" s="2052" t="s">
        <v>153</v>
      </c>
      <c r="C1" s="2052"/>
      <c r="D1" s="2052"/>
      <c r="E1" s="2052"/>
      <c r="F1" s="2052"/>
      <c r="G1" s="2052"/>
      <c r="H1" s="2052"/>
      <c r="I1" s="2052"/>
      <c r="J1" s="2052"/>
      <c r="K1" s="2052"/>
      <c r="L1" s="2052"/>
      <c r="M1" s="2052"/>
      <c r="N1" s="2052"/>
      <c r="O1" s="2052"/>
      <c r="P1" s="2052"/>
      <c r="Q1" s="2052"/>
    </row>
    <row r="2" spans="2:19" ht="13.5" thickBot="1">
      <c r="B2" s="2053" t="s">
        <v>50</v>
      </c>
      <c r="C2" s="2053" t="s">
        <v>139</v>
      </c>
      <c r="D2" s="2053"/>
      <c r="E2" s="2053"/>
      <c r="F2" s="2053"/>
      <c r="G2" s="2054"/>
      <c r="H2" s="2053"/>
      <c r="I2" s="2053"/>
      <c r="J2" s="2054"/>
      <c r="K2" s="2053"/>
      <c r="L2" s="2053"/>
      <c r="M2" s="2054"/>
      <c r="N2" s="2053"/>
      <c r="O2" s="2053"/>
      <c r="P2" s="2053"/>
      <c r="Q2" s="2053"/>
    </row>
    <row r="3" spans="2:19">
      <c r="B3" s="2053"/>
      <c r="C3" s="128">
        <v>5</v>
      </c>
      <c r="D3" s="128">
        <v>6</v>
      </c>
      <c r="E3" s="128">
        <v>7</v>
      </c>
      <c r="F3" s="129">
        <v>8</v>
      </c>
      <c r="G3" s="130">
        <v>9</v>
      </c>
      <c r="H3" s="131">
        <v>10</v>
      </c>
      <c r="I3" s="129">
        <v>11</v>
      </c>
      <c r="J3" s="130">
        <v>12</v>
      </c>
      <c r="K3" s="131">
        <v>13</v>
      </c>
      <c r="L3" s="129">
        <v>14</v>
      </c>
      <c r="M3" s="130">
        <v>15</v>
      </c>
      <c r="N3" s="131">
        <v>16</v>
      </c>
      <c r="O3" s="128">
        <v>17</v>
      </c>
      <c r="P3" s="128">
        <v>18</v>
      </c>
      <c r="Q3" s="128">
        <v>19</v>
      </c>
      <c r="S3" s="106" t="s">
        <v>161</v>
      </c>
    </row>
    <row r="4" spans="2:19">
      <c r="B4" s="139" t="s">
        <v>141</v>
      </c>
      <c r="C4" s="293">
        <v>16</v>
      </c>
      <c r="D4" s="293">
        <v>122</v>
      </c>
      <c r="E4" s="293">
        <v>308</v>
      </c>
      <c r="F4" s="294">
        <v>498</v>
      </c>
      <c r="G4" s="295">
        <v>653</v>
      </c>
      <c r="H4" s="131">
        <v>765</v>
      </c>
      <c r="I4" s="129">
        <v>829</v>
      </c>
      <c r="J4" s="132">
        <v>843</v>
      </c>
      <c r="K4" s="131">
        <v>807</v>
      </c>
      <c r="L4" s="129">
        <v>723</v>
      </c>
      <c r="M4" s="132">
        <v>591</v>
      </c>
      <c r="N4" s="131">
        <v>419</v>
      </c>
      <c r="O4" s="128">
        <v>224</v>
      </c>
      <c r="P4" s="128">
        <v>63</v>
      </c>
      <c r="Q4" s="128">
        <v>0</v>
      </c>
      <c r="S4" s="140">
        <f>SUM(C4:Q4)</f>
        <v>6861</v>
      </c>
    </row>
    <row r="5" spans="2:19">
      <c r="B5" s="128" t="s">
        <v>140</v>
      </c>
      <c r="C5" s="293">
        <v>8</v>
      </c>
      <c r="D5" s="293">
        <v>24</v>
      </c>
      <c r="E5" s="293">
        <v>33</v>
      </c>
      <c r="F5" s="294">
        <v>38</v>
      </c>
      <c r="G5" s="295">
        <v>42</v>
      </c>
      <c r="H5" s="131">
        <v>43</v>
      </c>
      <c r="I5" s="297">
        <f>43</f>
        <v>43</v>
      </c>
      <c r="J5" s="132">
        <f>43</f>
        <v>43</v>
      </c>
      <c r="K5" s="131">
        <f>43</f>
        <v>43</v>
      </c>
      <c r="L5" s="131">
        <f>43</f>
        <v>43</v>
      </c>
      <c r="M5" s="132">
        <v>40</v>
      </c>
      <c r="N5" s="131">
        <v>36</v>
      </c>
      <c r="O5" s="128">
        <v>30</v>
      </c>
      <c r="P5" s="128">
        <v>20</v>
      </c>
      <c r="Q5" s="128">
        <v>0</v>
      </c>
      <c r="S5" s="138">
        <f t="shared" ref="S5:S13" si="0">SUM(C5:Q5)</f>
        <v>486</v>
      </c>
    </row>
    <row r="6" spans="2:19">
      <c r="B6" s="128" t="s">
        <v>142</v>
      </c>
      <c r="C6" s="293">
        <f>C21*20</f>
        <v>18.600000000000001</v>
      </c>
      <c r="D6" s="293">
        <f>C21*100</f>
        <v>93</v>
      </c>
      <c r="E6" s="293">
        <f>C21*55</f>
        <v>51.150000000000006</v>
      </c>
      <c r="F6" s="294">
        <f>C21*38</f>
        <v>35.340000000000003</v>
      </c>
      <c r="G6" s="295">
        <f>C21*42</f>
        <v>39.06</v>
      </c>
      <c r="H6" s="298">
        <f>$C$21*43</f>
        <v>39.99</v>
      </c>
      <c r="I6" s="299">
        <f>$C$21*43</f>
        <v>39.99</v>
      </c>
      <c r="J6" s="295">
        <f>$C$21*43</f>
        <v>39.99</v>
      </c>
      <c r="K6" s="298">
        <f>$C$21*43</f>
        <v>39.99</v>
      </c>
      <c r="L6" s="298">
        <f>$C$21*43</f>
        <v>39.99</v>
      </c>
      <c r="M6" s="295">
        <f>$C$21*40</f>
        <v>37.200000000000003</v>
      </c>
      <c r="N6" s="298">
        <f>C21*38</f>
        <v>35.340000000000003</v>
      </c>
      <c r="O6" s="300">
        <f>C21*76</f>
        <v>70.680000000000007</v>
      </c>
      <c r="P6" s="300">
        <f>C21*99</f>
        <v>92.070000000000007</v>
      </c>
      <c r="Q6" s="128">
        <v>0</v>
      </c>
      <c r="S6" s="138">
        <f t="shared" si="0"/>
        <v>672.39</v>
      </c>
    </row>
    <row r="7" spans="2:19">
      <c r="B7" s="139" t="s">
        <v>154</v>
      </c>
      <c r="C7" s="293">
        <f>C21*43</f>
        <v>39.99</v>
      </c>
      <c r="D7" s="293">
        <f>C21*430</f>
        <v>399.90000000000003</v>
      </c>
      <c r="E7" s="293">
        <f>C21*476</f>
        <v>442.68</v>
      </c>
      <c r="F7" s="294">
        <f>C21*394</f>
        <v>366.42</v>
      </c>
      <c r="G7" s="295">
        <f>C21*245</f>
        <v>227.85000000000002</v>
      </c>
      <c r="H7" s="298">
        <f>C21*92</f>
        <v>85.56</v>
      </c>
      <c r="I7" s="299">
        <f>$C$21*43</f>
        <v>39.99</v>
      </c>
      <c r="J7" s="295">
        <f>$C$21*43</f>
        <v>39.99</v>
      </c>
      <c r="K7" s="298">
        <f>$C$21*43</f>
        <v>39.99</v>
      </c>
      <c r="L7" s="298">
        <f>$C$21*43</f>
        <v>39.99</v>
      </c>
      <c r="M7" s="295">
        <f t="shared" ref="M7:M9" si="1">$C$21*40</f>
        <v>37.200000000000003</v>
      </c>
      <c r="N7" s="298">
        <f>$C$21*36</f>
        <v>33.480000000000004</v>
      </c>
      <c r="O7" s="300">
        <f>C21*30</f>
        <v>27.900000000000002</v>
      </c>
      <c r="P7" s="300">
        <f>C21*20</f>
        <v>18.600000000000001</v>
      </c>
      <c r="Q7" s="128">
        <v>0</v>
      </c>
      <c r="S7" s="140">
        <f t="shared" si="0"/>
        <v>1839.5400000000002</v>
      </c>
    </row>
    <row r="8" spans="2:19">
      <c r="B8" s="139" t="s">
        <v>144</v>
      </c>
      <c r="C8" s="293">
        <f>C21*43</f>
        <v>39.99</v>
      </c>
      <c r="D8" s="293">
        <f>C21*480</f>
        <v>446.40000000000003</v>
      </c>
      <c r="E8" s="293">
        <f>C21*603</f>
        <v>560.79000000000008</v>
      </c>
      <c r="F8" s="294">
        <f>C21*591</f>
        <v>549.63</v>
      </c>
      <c r="G8" s="295">
        <f>C21*491</f>
        <v>456.63000000000005</v>
      </c>
      <c r="H8" s="298">
        <f>C21*319</f>
        <v>296.67</v>
      </c>
      <c r="I8" s="294">
        <f>C21*121</f>
        <v>112.53</v>
      </c>
      <c r="J8" s="295">
        <f>$C$21*43</f>
        <v>39.99</v>
      </c>
      <c r="K8" s="298">
        <f>$C$21*43</f>
        <v>39.99</v>
      </c>
      <c r="L8" s="298">
        <f>$C$21*43</f>
        <v>39.99</v>
      </c>
      <c r="M8" s="295">
        <f t="shared" si="1"/>
        <v>37.200000000000003</v>
      </c>
      <c r="N8" s="298">
        <f t="shared" ref="N8:N10" si="2">$C$21*36</f>
        <v>33.480000000000004</v>
      </c>
      <c r="O8" s="300">
        <f>C21*30</f>
        <v>27.900000000000002</v>
      </c>
      <c r="P8" s="300">
        <f>C21*20</f>
        <v>18.600000000000001</v>
      </c>
      <c r="Q8" s="128">
        <v>0</v>
      </c>
      <c r="S8" s="140">
        <f t="shared" si="0"/>
        <v>2699.7899999999995</v>
      </c>
    </row>
    <row r="9" spans="2:19">
      <c r="B9" s="139" t="s">
        <v>145</v>
      </c>
      <c r="C9" s="293">
        <f>C21*20</f>
        <v>18.600000000000001</v>
      </c>
      <c r="D9" s="293">
        <f>C21*236</f>
        <v>219.48000000000002</v>
      </c>
      <c r="E9" s="293">
        <f>C21*363</f>
        <v>337.59000000000003</v>
      </c>
      <c r="F9" s="294">
        <f>C21*417</f>
        <v>387.81</v>
      </c>
      <c r="G9" s="295">
        <f>C21*409</f>
        <v>380.37</v>
      </c>
      <c r="H9" s="298">
        <f>C21*341</f>
        <v>317.13</v>
      </c>
      <c r="I9" s="294">
        <f>C21*224</f>
        <v>208.32000000000002</v>
      </c>
      <c r="J9" s="295">
        <f>C21*93</f>
        <v>86.490000000000009</v>
      </c>
      <c r="K9" s="298">
        <f>$C$21*43</f>
        <v>39.99</v>
      </c>
      <c r="L9" s="298">
        <f>$C$21*43</f>
        <v>39.99</v>
      </c>
      <c r="M9" s="295">
        <f t="shared" si="1"/>
        <v>37.200000000000003</v>
      </c>
      <c r="N9" s="298">
        <f t="shared" si="2"/>
        <v>33.480000000000004</v>
      </c>
      <c r="O9" s="300">
        <f>C21*30</f>
        <v>27.900000000000002</v>
      </c>
      <c r="P9" s="300">
        <f>C21*20</f>
        <v>18.600000000000001</v>
      </c>
      <c r="Q9" s="128">
        <v>0</v>
      </c>
      <c r="S9" s="140">
        <f t="shared" si="0"/>
        <v>2152.9499999999998</v>
      </c>
    </row>
    <row r="10" spans="2:19">
      <c r="B10" s="128" t="s">
        <v>146</v>
      </c>
      <c r="C10" s="293">
        <f>C21*8</f>
        <v>7.44</v>
      </c>
      <c r="D10" s="293">
        <f>C21*24</f>
        <v>22.32</v>
      </c>
      <c r="E10" s="293">
        <f>C21*33</f>
        <v>30.69</v>
      </c>
      <c r="F10" s="294">
        <f>C21*40</f>
        <v>37.200000000000003</v>
      </c>
      <c r="G10" s="295">
        <f>C21*77</f>
        <v>71.61</v>
      </c>
      <c r="H10" s="298">
        <f>C21*131</f>
        <v>121.83000000000001</v>
      </c>
      <c r="I10" s="294">
        <f>C21*171</f>
        <v>159.03</v>
      </c>
      <c r="J10" s="295">
        <f>C21*180</f>
        <v>167.4</v>
      </c>
      <c r="K10" s="298">
        <f>C21*157</f>
        <v>146.01000000000002</v>
      </c>
      <c r="L10" s="294">
        <f>C21*108</f>
        <v>100.44000000000001</v>
      </c>
      <c r="M10" s="295">
        <f>C21*56</f>
        <v>52.080000000000005</v>
      </c>
      <c r="N10" s="298">
        <f t="shared" si="2"/>
        <v>33.480000000000004</v>
      </c>
      <c r="O10" s="300">
        <f>C21*30</f>
        <v>27.900000000000002</v>
      </c>
      <c r="P10" s="300">
        <f>C21*20</f>
        <v>18.600000000000001</v>
      </c>
      <c r="Q10" s="128">
        <v>0</v>
      </c>
      <c r="S10" s="138">
        <f t="shared" si="0"/>
        <v>996.03000000000009</v>
      </c>
    </row>
    <row r="11" spans="2:19">
      <c r="B11" s="139" t="s">
        <v>155</v>
      </c>
      <c r="C11" s="293">
        <f>C21*8</f>
        <v>7.44</v>
      </c>
      <c r="D11" s="293">
        <f>C21*24</f>
        <v>22.32</v>
      </c>
      <c r="E11" s="293">
        <f>C21*33</f>
        <v>30.69</v>
      </c>
      <c r="F11" s="294">
        <f>C21*38</f>
        <v>35.340000000000003</v>
      </c>
      <c r="G11" s="295">
        <f>C21*42</f>
        <v>39.06</v>
      </c>
      <c r="H11" s="298">
        <f>$C$21*43</f>
        <v>39.99</v>
      </c>
      <c r="I11" s="294">
        <f>C21*48</f>
        <v>44.64</v>
      </c>
      <c r="J11" s="295">
        <f>C21*147</f>
        <v>136.71</v>
      </c>
      <c r="K11" s="298">
        <f>C21*279</f>
        <v>259.47000000000003</v>
      </c>
      <c r="L11" s="294">
        <f>C21*377</f>
        <v>350.61</v>
      </c>
      <c r="M11" s="295">
        <f>C21*420</f>
        <v>390.6</v>
      </c>
      <c r="N11" s="298">
        <f>C21*402</f>
        <v>373.86</v>
      </c>
      <c r="O11" s="300">
        <f>C21*317</f>
        <v>294.81</v>
      </c>
      <c r="P11" s="300">
        <f>C21*153</f>
        <v>142.29000000000002</v>
      </c>
      <c r="Q11" s="128">
        <v>0</v>
      </c>
      <c r="S11" s="140">
        <f t="shared" si="0"/>
        <v>2167.83</v>
      </c>
    </row>
    <row r="12" spans="2:19">
      <c r="B12" s="139" t="s">
        <v>148</v>
      </c>
      <c r="C12" s="293">
        <f>C21*8</f>
        <v>7.44</v>
      </c>
      <c r="D12" s="293">
        <f>C21*24</f>
        <v>22.32</v>
      </c>
      <c r="E12" s="293">
        <f>C21*33</f>
        <v>30.69</v>
      </c>
      <c r="F12" s="294">
        <f>C21*38</f>
        <v>35.340000000000003</v>
      </c>
      <c r="G12" s="295">
        <f>C21*42</f>
        <v>39.06</v>
      </c>
      <c r="H12" s="298">
        <f>$C$21*43</f>
        <v>39.99</v>
      </c>
      <c r="I12" s="298">
        <f>$C$21*43</f>
        <v>39.99</v>
      </c>
      <c r="J12" s="295">
        <f>C21*50</f>
        <v>46.5</v>
      </c>
      <c r="K12" s="298">
        <f>C21*202</f>
        <v>187.86</v>
      </c>
      <c r="L12" s="294">
        <f>C21*400</f>
        <v>372</v>
      </c>
      <c r="M12" s="295">
        <f>C21*543</f>
        <v>504.99</v>
      </c>
      <c r="N12" s="298">
        <f>C21*609</f>
        <v>566.37</v>
      </c>
      <c r="O12" s="300">
        <f>C21*572</f>
        <v>531.96</v>
      </c>
      <c r="P12" s="300">
        <f>C21*349</f>
        <v>324.57</v>
      </c>
      <c r="Q12" s="128">
        <v>0</v>
      </c>
      <c r="S12" s="140">
        <f t="shared" si="0"/>
        <v>2749.0800000000004</v>
      </c>
    </row>
    <row r="13" spans="2:19" ht="13.5" thickBot="1">
      <c r="B13" s="139" t="s">
        <v>149</v>
      </c>
      <c r="C13" s="293">
        <f>C21*8</f>
        <v>7.44</v>
      </c>
      <c r="D13" s="293">
        <f>C21*24</f>
        <v>22.32</v>
      </c>
      <c r="E13" s="293">
        <f>C21*33</f>
        <v>30.69</v>
      </c>
      <c r="F13" s="294">
        <f>C21*38</f>
        <v>35.340000000000003</v>
      </c>
      <c r="G13" s="296">
        <f>C21*42</f>
        <v>39.06</v>
      </c>
      <c r="H13" s="298">
        <f>$C$21*43</f>
        <v>39.99</v>
      </c>
      <c r="I13" s="298">
        <f>$C$21*43</f>
        <v>39.99</v>
      </c>
      <c r="J13" s="295">
        <f>$C$21*43</f>
        <v>39.99</v>
      </c>
      <c r="K13" s="298">
        <f>C21*47</f>
        <v>43.71</v>
      </c>
      <c r="L13" s="294">
        <f>C21*152</f>
        <v>141.36000000000001</v>
      </c>
      <c r="M13" s="296">
        <f>C21*315</f>
        <v>292.95</v>
      </c>
      <c r="N13" s="298">
        <f>C21*441</f>
        <v>410.13</v>
      </c>
      <c r="O13" s="300">
        <f>C21*478</f>
        <v>444.54</v>
      </c>
      <c r="P13" s="300">
        <f>C21*329</f>
        <v>305.97000000000003</v>
      </c>
      <c r="Q13" s="128">
        <v>0</v>
      </c>
      <c r="S13" s="140">
        <f t="shared" si="0"/>
        <v>1893.48</v>
      </c>
    </row>
    <row r="14" spans="2:19">
      <c r="B14" s="127" t="s">
        <v>156</v>
      </c>
    </row>
    <row r="15" spans="2:19" ht="13.5" thickBot="1"/>
    <row r="16" spans="2:19">
      <c r="B16" s="134"/>
      <c r="C16" s="128">
        <v>5</v>
      </c>
      <c r="D16" s="128">
        <v>6</v>
      </c>
      <c r="E16" s="128">
        <v>7</v>
      </c>
      <c r="F16" s="129">
        <v>8</v>
      </c>
      <c r="G16" s="130">
        <v>9</v>
      </c>
      <c r="H16" s="131">
        <v>10</v>
      </c>
      <c r="I16" s="129">
        <v>11</v>
      </c>
      <c r="J16" s="130">
        <v>12</v>
      </c>
      <c r="K16" s="131">
        <v>13</v>
      </c>
      <c r="L16" s="129">
        <v>14</v>
      </c>
      <c r="M16" s="130">
        <v>15</v>
      </c>
      <c r="N16" s="131">
        <v>16</v>
      </c>
      <c r="O16" s="128">
        <v>17</v>
      </c>
      <c r="P16" s="128">
        <v>18</v>
      </c>
      <c r="Q16" s="128">
        <v>19</v>
      </c>
    </row>
    <row r="17" spans="2:17" ht="13.5" thickBot="1">
      <c r="B17" s="134" t="s">
        <v>161</v>
      </c>
      <c r="C17" s="133">
        <f>SUM(C4:C13)</f>
        <v>170.94</v>
      </c>
      <c r="D17" s="133">
        <f t="shared" ref="D17:Q17" si="3">SUM(D4:D13)</f>
        <v>1394.06</v>
      </c>
      <c r="E17" s="133">
        <f t="shared" si="3"/>
        <v>1855.9700000000003</v>
      </c>
      <c r="F17" s="135">
        <f t="shared" si="3"/>
        <v>2018.4199999999996</v>
      </c>
      <c r="G17" s="137">
        <f t="shared" si="3"/>
        <v>1987.6999999999996</v>
      </c>
      <c r="H17" s="136">
        <f t="shared" si="3"/>
        <v>1789.1499999999999</v>
      </c>
      <c r="I17" s="135">
        <f t="shared" si="3"/>
        <v>1556.48</v>
      </c>
      <c r="J17" s="137">
        <f t="shared" si="3"/>
        <v>1483.0600000000002</v>
      </c>
      <c r="K17" s="136">
        <f t="shared" si="3"/>
        <v>1647.0100000000002</v>
      </c>
      <c r="L17" s="135">
        <f t="shared" si="3"/>
        <v>1890.3700000000003</v>
      </c>
      <c r="M17" s="137">
        <f t="shared" si="3"/>
        <v>2020.4200000000003</v>
      </c>
      <c r="N17" s="136">
        <f t="shared" si="3"/>
        <v>1974.6200000000003</v>
      </c>
      <c r="O17" s="133">
        <f t="shared" si="3"/>
        <v>1707.59</v>
      </c>
      <c r="P17" s="133">
        <f t="shared" si="3"/>
        <v>1022.3</v>
      </c>
      <c r="Q17" s="134">
        <f t="shared" si="3"/>
        <v>0</v>
      </c>
    </row>
    <row r="20" spans="2:17">
      <c r="B20" s="127" t="s">
        <v>598</v>
      </c>
    </row>
    <row r="21" spans="2:17">
      <c r="B21" s="127" t="s">
        <v>599</v>
      </c>
      <c r="C21" s="127">
        <v>0.93</v>
      </c>
    </row>
  </sheetData>
  <mergeCells count="3">
    <mergeCell ref="B1:Q1"/>
    <mergeCell ref="B2:B3"/>
    <mergeCell ref="C2:Q2"/>
  </mergeCells>
  <phoneticPr fontId="2"/>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FF00"/>
  </sheetPr>
  <dimension ref="A1:J185"/>
  <sheetViews>
    <sheetView topLeftCell="A10" workbookViewId="0">
      <selection activeCell="C67" sqref="C67"/>
    </sheetView>
  </sheetViews>
  <sheetFormatPr defaultRowHeight="13"/>
  <cols>
    <col min="1" max="1" width="2.7265625" customWidth="1"/>
    <col min="2" max="2" width="14.453125" customWidth="1"/>
    <col min="4" max="4" width="8.453125" bestFit="1" customWidth="1"/>
    <col min="5" max="6" width="7.90625" customWidth="1"/>
  </cols>
  <sheetData>
    <row r="1" spans="1:6">
      <c r="A1" t="s">
        <v>538</v>
      </c>
    </row>
    <row r="3" spans="1:6" s="1" customFormat="1">
      <c r="A3" s="81">
        <v>1</v>
      </c>
      <c r="B3" s="81" t="s">
        <v>162</v>
      </c>
    </row>
    <row r="4" spans="1:6" s="1" customFormat="1">
      <c r="B4" s="1" t="s">
        <v>163</v>
      </c>
    </row>
    <row r="5" spans="1:6" s="1" customFormat="1">
      <c r="B5" s="1" t="s">
        <v>164</v>
      </c>
    </row>
    <row r="6" spans="1:6" s="1" customFormat="1">
      <c r="B6" s="4" t="s">
        <v>166</v>
      </c>
      <c r="C6" s="4" t="s">
        <v>165</v>
      </c>
      <c r="D6" s="4">
        <v>1</v>
      </c>
      <c r="E6" s="4">
        <v>2</v>
      </c>
      <c r="F6" s="4">
        <v>3</v>
      </c>
    </row>
    <row r="7" spans="1:6" s="1" customFormat="1">
      <c r="B7" s="2" t="s">
        <v>169</v>
      </c>
      <c r="C7" s="4" t="s">
        <v>167</v>
      </c>
      <c r="D7" s="2">
        <v>31.5</v>
      </c>
      <c r="E7" s="2">
        <v>31.9</v>
      </c>
      <c r="F7" s="2">
        <v>30.7</v>
      </c>
    </row>
    <row r="8" spans="1:6" s="1" customFormat="1">
      <c r="B8" s="2" t="s">
        <v>170</v>
      </c>
      <c r="C8" s="4" t="s">
        <v>167</v>
      </c>
      <c r="D8" s="2">
        <v>-1.5</v>
      </c>
      <c r="E8" s="2">
        <v>-0.7</v>
      </c>
      <c r="F8" s="2">
        <v>-4.2</v>
      </c>
    </row>
    <row r="9" spans="1:6" s="1" customFormat="1">
      <c r="B9" s="2" t="s">
        <v>201</v>
      </c>
      <c r="C9" s="4" t="s">
        <v>167</v>
      </c>
      <c r="D9" s="246">
        <v>28</v>
      </c>
      <c r="E9" s="246">
        <v>28</v>
      </c>
      <c r="F9" s="246">
        <v>28</v>
      </c>
    </row>
    <row r="10" spans="1:6" s="1" customFormat="1">
      <c r="B10" s="2" t="s">
        <v>202</v>
      </c>
      <c r="C10" s="4" t="s">
        <v>167</v>
      </c>
      <c r="D10" s="246">
        <v>20</v>
      </c>
      <c r="E10" s="246">
        <v>20</v>
      </c>
      <c r="F10" s="246">
        <v>20</v>
      </c>
    </row>
    <row r="11" spans="1:6" s="1" customFormat="1">
      <c r="B11" s="142" t="s">
        <v>168</v>
      </c>
    </row>
    <row r="12" spans="1:6" s="1" customFormat="1"/>
    <row r="13" spans="1:6" s="1" customFormat="1">
      <c r="B13" s="286" t="s">
        <v>539</v>
      </c>
      <c r="C13" s="89" t="s">
        <v>540</v>
      </c>
      <c r="D13" s="89"/>
    </row>
    <row r="14" spans="1:6" s="1" customFormat="1">
      <c r="B14" s="802">
        <v>1</v>
      </c>
      <c r="C14" s="2050" t="s">
        <v>4</v>
      </c>
      <c r="D14" s="2056"/>
    </row>
    <row r="15" spans="1:6" s="1" customFormat="1">
      <c r="B15" s="802">
        <v>2</v>
      </c>
      <c r="C15" s="2050" t="s">
        <v>5</v>
      </c>
      <c r="D15" s="2056"/>
    </row>
    <row r="16" spans="1:6" s="1" customFormat="1">
      <c r="B16" s="802">
        <v>3</v>
      </c>
      <c r="C16" s="2050" t="s">
        <v>6</v>
      </c>
      <c r="D16" s="2056"/>
    </row>
    <row r="17" spans="1:10" s="1" customFormat="1"/>
    <row r="18" spans="1:10" s="1" customFormat="1">
      <c r="A18" s="81">
        <v>2</v>
      </c>
      <c r="B18" s="81" t="s">
        <v>171</v>
      </c>
    </row>
    <row r="19" spans="1:10" s="1" customFormat="1"/>
    <row r="20" spans="1:10" s="1" customFormat="1">
      <c r="B20" s="1" t="s">
        <v>178</v>
      </c>
    </row>
    <row r="21" spans="1:10" s="1" customFormat="1">
      <c r="B21" s="8" t="s">
        <v>26</v>
      </c>
      <c r="C21" s="9"/>
      <c r="D21" s="9"/>
      <c r="E21" s="285">
        <f>入力!E27</f>
        <v>0</v>
      </c>
      <c r="F21" s="11" t="s">
        <v>172</v>
      </c>
    </row>
    <row r="22" spans="1:10" s="1" customFormat="1">
      <c r="B22" s="8" t="s">
        <v>34</v>
      </c>
      <c r="C22" s="9"/>
      <c r="D22" s="9"/>
      <c r="E22" s="285">
        <f>入力!E28</f>
        <v>0</v>
      </c>
      <c r="F22" s="11" t="s">
        <v>173</v>
      </c>
    </row>
    <row r="23" spans="1:10" s="1" customFormat="1">
      <c r="B23" s="8" t="s">
        <v>175</v>
      </c>
      <c r="C23" s="9"/>
      <c r="D23" s="9"/>
      <c r="E23" s="8">
        <f>E22*E21</f>
        <v>0</v>
      </c>
      <c r="F23" s="11" t="s">
        <v>174</v>
      </c>
    </row>
    <row r="24" spans="1:10" s="1" customFormat="1"/>
    <row r="25" spans="1:10" s="1" customFormat="1"/>
    <row r="26" spans="1:10" s="1" customFormat="1">
      <c r="B26" s="813" t="s">
        <v>1088</v>
      </c>
      <c r="C26" s="2061" t="s">
        <v>1081</v>
      </c>
      <c r="D26" s="2061"/>
      <c r="E26" s="2060" t="s">
        <v>1142</v>
      </c>
      <c r="F26" s="2060"/>
      <c r="G26" s="2063" t="s">
        <v>1153</v>
      </c>
      <c r="H26" s="2064"/>
      <c r="I26" s="2064"/>
      <c r="J26" s="2064"/>
    </row>
    <row r="27" spans="1:10" s="1" customFormat="1">
      <c r="C27" s="2061"/>
      <c r="D27" s="2061"/>
      <c r="E27" s="2060"/>
      <c r="F27" s="2060"/>
      <c r="G27" s="2063"/>
      <c r="H27" s="2064"/>
      <c r="I27" s="2064"/>
      <c r="J27" s="2064"/>
    </row>
    <row r="28" spans="1:10" s="1" customFormat="1">
      <c r="C28" s="915">
        <f>IF(E21&lt;=30.5,E21)</f>
        <v>0</v>
      </c>
      <c r="D28" s="815" t="s">
        <v>172</v>
      </c>
      <c r="E28" s="916">
        <f>C28</f>
        <v>0</v>
      </c>
      <c r="F28" s="815" t="s">
        <v>172</v>
      </c>
      <c r="G28" s="2063"/>
      <c r="H28" s="2064"/>
      <c r="I28" s="2064"/>
      <c r="J28" s="2064"/>
    </row>
    <row r="29" spans="1:10" s="1" customFormat="1">
      <c r="C29" s="915">
        <f>IF(E22&lt;=C30,E22,IF(E22&gt;=C30,C30))</f>
        <v>0</v>
      </c>
      <c r="D29" s="815" t="s">
        <v>173</v>
      </c>
      <c r="E29" s="917">
        <f>IF(E22&lt;=E30,E22)</f>
        <v>0</v>
      </c>
      <c r="F29" s="815" t="s">
        <v>173</v>
      </c>
      <c r="G29" s="2063"/>
      <c r="H29" s="2064"/>
      <c r="I29" s="2064"/>
      <c r="J29" s="2064"/>
    </row>
    <row r="30" spans="1:10" s="1" customFormat="1" ht="26">
      <c r="C30" s="905">
        <v>13</v>
      </c>
      <c r="D30" s="816" t="s">
        <v>1082</v>
      </c>
      <c r="E30" s="905">
        <v>24</v>
      </c>
      <c r="F30" s="816" t="s">
        <v>1083</v>
      </c>
      <c r="G30" s="2063"/>
      <c r="H30" s="2064"/>
      <c r="I30" s="2064"/>
      <c r="J30" s="2064"/>
    </row>
    <row r="31" spans="1:10" s="1" customFormat="1"/>
    <row r="32" spans="1:10" s="1" customFormat="1">
      <c r="B32" s="813" t="s">
        <v>1089</v>
      </c>
      <c r="C32" s="2062" t="s">
        <v>1143</v>
      </c>
      <c r="D32" s="2062"/>
      <c r="E32" s="2062"/>
      <c r="F32" s="2062"/>
      <c r="G32" s="2062"/>
      <c r="H32" s="813"/>
      <c r="I32" s="813"/>
      <c r="J32" s="813"/>
    </row>
    <row r="33" spans="2:10" s="1" customFormat="1">
      <c r="C33" s="2057" t="s">
        <v>1084</v>
      </c>
      <c r="D33" s="2058"/>
      <c r="E33" s="2058"/>
      <c r="F33" s="2058"/>
      <c r="G33" s="2058"/>
      <c r="H33" s="2058"/>
      <c r="I33" s="2058"/>
      <c r="J33" s="2059"/>
    </row>
    <row r="34" spans="2:10" s="1" customFormat="1">
      <c r="B34" s="2055" t="s">
        <v>1154</v>
      </c>
      <c r="C34" s="906" t="s">
        <v>63</v>
      </c>
      <c r="D34" s="906" t="s">
        <v>64</v>
      </c>
      <c r="E34" s="906" t="s">
        <v>65</v>
      </c>
      <c r="F34" s="906" t="s">
        <v>66</v>
      </c>
      <c r="G34" s="906" t="s">
        <v>67</v>
      </c>
      <c r="H34" s="906" t="s">
        <v>68</v>
      </c>
      <c r="I34" s="906" t="s">
        <v>69</v>
      </c>
      <c r="J34" s="906" t="s">
        <v>70</v>
      </c>
    </row>
    <row r="35" spans="2:10" s="1" customFormat="1">
      <c r="B35" s="2055"/>
      <c r="C35" s="907" t="s">
        <v>9</v>
      </c>
      <c r="D35" s="907" t="s">
        <v>9</v>
      </c>
      <c r="E35" s="907" t="s">
        <v>9</v>
      </c>
      <c r="F35" s="907" t="s">
        <v>9</v>
      </c>
      <c r="G35" s="907" t="s">
        <v>9</v>
      </c>
      <c r="H35" s="907" t="s">
        <v>9</v>
      </c>
      <c r="I35" s="907" t="s">
        <v>9</v>
      </c>
      <c r="J35" s="907" t="s">
        <v>9</v>
      </c>
    </row>
    <row r="36" spans="2:10" s="1" customFormat="1">
      <c r="B36" s="2055"/>
      <c r="C36" s="915">
        <v>0</v>
      </c>
      <c r="D36" s="915">
        <v>2.5</v>
      </c>
      <c r="E36" s="915">
        <v>3.5</v>
      </c>
      <c r="F36" s="915">
        <v>4.5</v>
      </c>
      <c r="G36" s="915">
        <v>5</v>
      </c>
      <c r="H36" s="915">
        <v>4.5</v>
      </c>
      <c r="I36" s="915">
        <v>3.5</v>
      </c>
      <c r="J36" s="915">
        <v>2.5</v>
      </c>
    </row>
    <row r="37" spans="2:10" s="1" customFormat="1"/>
    <row r="38" spans="2:10" s="1" customFormat="1"/>
    <row r="39" spans="2:10" s="1" customFormat="1"/>
    <row r="40" spans="2:10" s="1" customFormat="1"/>
    <row r="41" spans="2:10" s="1" customFormat="1"/>
    <row r="42" spans="2:10" s="1" customFormat="1"/>
    <row r="43" spans="2:10" s="1" customFormat="1"/>
    <row r="44" spans="2:10" s="1" customFormat="1"/>
    <row r="45" spans="2:10" s="1" customFormat="1"/>
    <row r="46" spans="2:10" s="1" customFormat="1"/>
    <row r="47" spans="2:10" s="1" customFormat="1"/>
    <row r="48" spans="2:10" s="1" customFormat="1"/>
    <row r="49" spans="1:4" s="1" customFormat="1"/>
    <row r="50" spans="1:4" s="1" customFormat="1"/>
    <row r="51" spans="1:4" s="1" customFormat="1"/>
    <row r="52" spans="1:4" s="1" customFormat="1"/>
    <row r="53" spans="1:4" s="1" customFormat="1"/>
    <row r="54" spans="1:4" s="1" customFormat="1"/>
    <row r="55" spans="1:4" s="1" customFormat="1"/>
    <row r="56" spans="1:4" s="1" customFormat="1"/>
    <row r="57" spans="1:4" s="1" customFormat="1">
      <c r="A57" s="81">
        <v>3</v>
      </c>
      <c r="B57" s="81" t="s">
        <v>176</v>
      </c>
    </row>
    <row r="58" spans="1:4" s="1" customFormat="1"/>
    <row r="59" spans="1:4" s="1" customFormat="1">
      <c r="B59" s="1" t="s">
        <v>82</v>
      </c>
    </row>
    <row r="60" spans="1:4" s="1" customFormat="1">
      <c r="B60" s="161" t="s">
        <v>179</v>
      </c>
    </row>
    <row r="61" spans="1:4" s="1" customFormat="1">
      <c r="B61" s="8" t="s">
        <v>177</v>
      </c>
      <c r="C61" s="243">
        <f>IF(入力!C23="",3.55,入力!C23)</f>
        <v>3.55</v>
      </c>
    </row>
    <row r="62" spans="1:4" s="1" customFormat="1">
      <c r="B62" s="8" t="s">
        <v>3</v>
      </c>
      <c r="C62" s="243">
        <f>IF(入力!C24="",3.9,入力!C24)</f>
        <v>3.95</v>
      </c>
    </row>
    <row r="63" spans="1:4">
      <c r="A63" s="81"/>
      <c r="B63" s="81"/>
      <c r="C63" s="1"/>
      <c r="D63" s="1"/>
    </row>
    <row r="64" spans="1:4">
      <c r="A64" s="81"/>
      <c r="B64" s="81"/>
      <c r="C64" s="1"/>
      <c r="D64" s="1"/>
    </row>
    <row r="65" spans="1:5">
      <c r="A65" s="81"/>
      <c r="B65" s="81"/>
      <c r="C65" s="1"/>
      <c r="D65" s="1"/>
    </row>
    <row r="66" spans="1:5">
      <c r="A66" s="81">
        <v>4</v>
      </c>
      <c r="B66" s="81" t="s">
        <v>203</v>
      </c>
      <c r="C66" s="1"/>
      <c r="D66" s="1"/>
    </row>
    <row r="67" spans="1:5">
      <c r="A67" s="81"/>
      <c r="B67" s="81"/>
      <c r="C67" s="1"/>
      <c r="D67" s="1"/>
    </row>
    <row r="68" spans="1:5">
      <c r="A68" s="81"/>
      <c r="B68" s="81"/>
      <c r="C68" s="1"/>
      <c r="D68" s="1"/>
    </row>
    <row r="69" spans="1:5">
      <c r="A69" s="1"/>
      <c r="B69" s="1" t="s">
        <v>191</v>
      </c>
      <c r="C69" s="1"/>
      <c r="D69" s="1"/>
    </row>
    <row r="70" spans="1:5">
      <c r="A70" s="1"/>
      <c r="B70" s="8" t="s">
        <v>192</v>
      </c>
      <c r="C70" s="913"/>
      <c r="D70" s="16">
        <f>熱貫流率計算!H9</f>
        <v>3.91</v>
      </c>
      <c r="E70" s="11" t="s">
        <v>187</v>
      </c>
    </row>
    <row r="71" spans="1:5">
      <c r="A71" s="1"/>
      <c r="B71" s="8" t="s">
        <v>193</v>
      </c>
      <c r="C71" s="913"/>
      <c r="D71" s="16">
        <f>熱貫流率計算!H78</f>
        <v>1.18</v>
      </c>
      <c r="E71" s="11" t="s">
        <v>187</v>
      </c>
    </row>
    <row r="72" spans="1:5">
      <c r="A72" s="1"/>
      <c r="B72" s="8" t="s">
        <v>204</v>
      </c>
      <c r="C72" s="913"/>
      <c r="D72" s="291">
        <v>5.95</v>
      </c>
      <c r="E72" s="11" t="s">
        <v>187</v>
      </c>
    </row>
    <row r="73" spans="1:5">
      <c r="A73" s="1"/>
      <c r="B73" s="8" t="s">
        <v>597</v>
      </c>
      <c r="C73" s="913"/>
      <c r="D73" s="9">
        <v>0.876</v>
      </c>
      <c r="E73" s="11"/>
    </row>
    <row r="74" spans="1:5">
      <c r="A74" s="1"/>
      <c r="B74" s="1"/>
      <c r="C74" s="1"/>
      <c r="D74" s="1"/>
    </row>
    <row r="75" spans="1:5">
      <c r="A75" s="1"/>
      <c r="B75" s="1" t="s">
        <v>205</v>
      </c>
      <c r="C75" s="1"/>
      <c r="D75" s="1"/>
    </row>
    <row r="76" spans="1:5">
      <c r="A76" s="1"/>
      <c r="B76" s="1" t="s">
        <v>600</v>
      </c>
      <c r="C76" s="1"/>
      <c r="D76" s="1"/>
    </row>
    <row r="77" spans="1:5">
      <c r="A77" s="1"/>
      <c r="B77" s="1" t="s">
        <v>601</v>
      </c>
      <c r="C77" s="1"/>
      <c r="D77" s="1"/>
    </row>
    <row r="78" spans="1:5">
      <c r="A78" s="1"/>
      <c r="B78" s="1"/>
      <c r="C78" s="1"/>
      <c r="D78" s="1"/>
    </row>
    <row r="79" spans="1:5">
      <c r="A79" s="1"/>
      <c r="B79" s="1" t="s">
        <v>1152</v>
      </c>
      <c r="C79" s="1"/>
      <c r="D79" s="1"/>
    </row>
    <row r="81" spans="2:2">
      <c r="B81" t="s">
        <v>1079</v>
      </c>
    </row>
    <row r="82" spans="2:2">
      <c r="B82" s="912">
        <v>44634</v>
      </c>
    </row>
    <row r="83" spans="2:2">
      <c r="B83" t="s">
        <v>1085</v>
      </c>
    </row>
    <row r="84" spans="2:2">
      <c r="B84" t="s">
        <v>1086</v>
      </c>
    </row>
    <row r="85" spans="2:2">
      <c r="B85" t="s">
        <v>1087</v>
      </c>
    </row>
    <row r="86" spans="2:2">
      <c r="B86" t="s">
        <v>1090</v>
      </c>
    </row>
    <row r="87" spans="2:2">
      <c r="B87" t="s">
        <v>1091</v>
      </c>
    </row>
    <row r="88" spans="2:2">
      <c r="B88" t="s">
        <v>1092</v>
      </c>
    </row>
    <row r="89" spans="2:2">
      <c r="B89" t="s">
        <v>1136</v>
      </c>
    </row>
    <row r="90" spans="2:2">
      <c r="B90" t="s">
        <v>1138</v>
      </c>
    </row>
    <row r="91" spans="2:2">
      <c r="B91" t="s">
        <v>1139</v>
      </c>
    </row>
    <row r="92" spans="2:2">
      <c r="B92" t="s">
        <v>1137</v>
      </c>
    </row>
    <row r="175" spans="3:3">
      <c r="C175" t="s">
        <v>382</v>
      </c>
    </row>
    <row r="177" spans="3:3">
      <c r="C177" t="s">
        <v>383</v>
      </c>
    </row>
    <row r="179" spans="3:3">
      <c r="C179" t="s">
        <v>384</v>
      </c>
    </row>
    <row r="181" spans="3:3">
      <c r="C181" t="s">
        <v>386</v>
      </c>
    </row>
    <row r="183" spans="3:3">
      <c r="C183" t="s">
        <v>387</v>
      </c>
    </row>
    <row r="185" spans="3:3">
      <c r="C185" t="s">
        <v>388</v>
      </c>
    </row>
  </sheetData>
  <mergeCells count="9">
    <mergeCell ref="B34:B36"/>
    <mergeCell ref="C14:D14"/>
    <mergeCell ref="C15:D15"/>
    <mergeCell ref="C16:D16"/>
    <mergeCell ref="C33:J33"/>
    <mergeCell ref="E26:F27"/>
    <mergeCell ref="C26:D27"/>
    <mergeCell ref="C32:G32"/>
    <mergeCell ref="G26:J30"/>
  </mergeCells>
  <phoneticPr fontId="2"/>
  <pageMargins left="0.11811023622047245" right="0.11811023622047245" top="0.35433070866141736" bottom="0.15748031496062992" header="0.11811023622047245" footer="0.11811023622047245"/>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B1:AD44"/>
  <sheetViews>
    <sheetView workbookViewId="0">
      <selection activeCell="C67" sqref="C67"/>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30">
      <c r="B1" s="156">
        <f>温度条件他根拠!D6</f>
        <v>1</v>
      </c>
      <c r="C1" s="157"/>
      <c r="D1" s="81"/>
      <c r="F1" s="81"/>
      <c r="G1" s="81"/>
      <c r="H1" s="81"/>
      <c r="I1" s="81"/>
      <c r="J1" s="81"/>
      <c r="K1" s="81"/>
      <c r="L1" s="81"/>
      <c r="M1" s="81"/>
      <c r="N1" s="81"/>
      <c r="O1" s="81"/>
    </row>
    <row r="2" spans="2:30">
      <c r="B2" s="1129" t="s">
        <v>183</v>
      </c>
      <c r="C2" s="1129"/>
      <c r="D2" s="1129"/>
      <c r="E2" s="1129"/>
      <c r="F2" s="1129"/>
      <c r="G2" s="1129"/>
      <c r="H2" s="1129"/>
      <c r="I2" s="1129"/>
      <c r="J2" s="1129"/>
      <c r="K2" s="1129"/>
      <c r="L2" s="1129"/>
      <c r="M2" s="1129"/>
      <c r="N2" s="1129"/>
      <c r="O2" s="1129"/>
      <c r="Q2" s="1" t="s">
        <v>563</v>
      </c>
    </row>
    <row r="3" spans="2:30" ht="36">
      <c r="B3" s="686" t="s">
        <v>0</v>
      </c>
      <c r="C3" s="20" t="s">
        <v>40</v>
      </c>
      <c r="D3" s="20" t="s">
        <v>41</v>
      </c>
      <c r="E3" s="20" t="s">
        <v>8</v>
      </c>
      <c r="F3" s="20" t="s">
        <v>42</v>
      </c>
      <c r="G3" s="20" t="s">
        <v>43</v>
      </c>
      <c r="H3" s="18" t="s">
        <v>35</v>
      </c>
      <c r="I3" s="20" t="s">
        <v>36</v>
      </c>
      <c r="J3" s="20" t="s">
        <v>2</v>
      </c>
      <c r="K3" s="20" t="s">
        <v>3</v>
      </c>
      <c r="L3" s="20" t="s">
        <v>39</v>
      </c>
      <c r="M3" s="20" t="s">
        <v>38</v>
      </c>
      <c r="N3" s="20" t="s">
        <v>45</v>
      </c>
      <c r="O3" s="20" t="s">
        <v>44</v>
      </c>
      <c r="Q3" s="686" t="s">
        <v>0</v>
      </c>
      <c r="R3" s="20" t="s">
        <v>564</v>
      </c>
      <c r="S3" s="20" t="s">
        <v>565</v>
      </c>
      <c r="T3" s="20" t="s">
        <v>8</v>
      </c>
      <c r="U3" s="20" t="s">
        <v>42</v>
      </c>
      <c r="V3" s="20" t="s">
        <v>43</v>
      </c>
      <c r="W3" s="18" t="s">
        <v>566</v>
      </c>
      <c r="X3" s="20" t="s">
        <v>567</v>
      </c>
      <c r="Y3" s="20" t="s">
        <v>2</v>
      </c>
      <c r="Z3" s="20" t="s">
        <v>3</v>
      </c>
      <c r="AA3" s="20" t="s">
        <v>568</v>
      </c>
      <c r="AB3" s="20" t="s">
        <v>569</v>
      </c>
      <c r="AC3" s="20" t="s">
        <v>570</v>
      </c>
      <c r="AD3" s="20" t="s">
        <v>571</v>
      </c>
    </row>
    <row r="4" spans="2:30" ht="36">
      <c r="B4" s="686" t="s">
        <v>14</v>
      </c>
      <c r="C4" s="20" t="s">
        <v>16</v>
      </c>
      <c r="D4" s="20" t="s">
        <v>17</v>
      </c>
      <c r="E4" s="20" t="s">
        <v>18</v>
      </c>
      <c r="F4" s="20" t="s">
        <v>19</v>
      </c>
      <c r="G4" s="20" t="s">
        <v>20</v>
      </c>
      <c r="H4" s="20" t="s">
        <v>30</v>
      </c>
      <c r="I4" s="20" t="s">
        <v>29</v>
      </c>
      <c r="J4" s="20" t="s">
        <v>21</v>
      </c>
      <c r="K4" s="20" t="s">
        <v>22</v>
      </c>
      <c r="L4" s="688" t="s">
        <v>608</v>
      </c>
      <c r="M4" s="688" t="s">
        <v>607</v>
      </c>
      <c r="N4" s="687" t="s">
        <v>25</v>
      </c>
      <c r="O4" s="20" t="s">
        <v>32</v>
      </c>
      <c r="Q4" s="686" t="s">
        <v>14</v>
      </c>
      <c r="R4" s="20" t="s">
        <v>16</v>
      </c>
      <c r="S4" s="20" t="s">
        <v>17</v>
      </c>
      <c r="T4" s="20" t="s">
        <v>18</v>
      </c>
      <c r="U4" s="20" t="s">
        <v>19</v>
      </c>
      <c r="V4" s="20" t="s">
        <v>20</v>
      </c>
      <c r="W4" s="20" t="s">
        <v>30</v>
      </c>
      <c r="X4" s="20" t="s">
        <v>29</v>
      </c>
      <c r="Y4" s="20" t="s">
        <v>21</v>
      </c>
      <c r="Z4" s="20" t="s">
        <v>22</v>
      </c>
      <c r="AA4" s="688" t="s">
        <v>608</v>
      </c>
      <c r="AB4" s="688" t="s">
        <v>607</v>
      </c>
      <c r="AC4" s="687" t="s">
        <v>25</v>
      </c>
      <c r="AD4" s="20" t="s">
        <v>32</v>
      </c>
    </row>
    <row r="5" spans="2:30">
      <c r="B5" s="684" t="s">
        <v>15</v>
      </c>
      <c r="C5" s="5" t="s">
        <v>12</v>
      </c>
      <c r="D5" s="5" t="s">
        <v>12</v>
      </c>
      <c r="E5" s="5" t="s">
        <v>9</v>
      </c>
      <c r="F5" s="5" t="s">
        <v>10</v>
      </c>
      <c r="G5" s="5" t="s">
        <v>10</v>
      </c>
      <c r="H5" s="5" t="s">
        <v>11</v>
      </c>
      <c r="I5" s="5" t="s">
        <v>11</v>
      </c>
      <c r="J5" s="5" t="s">
        <v>10</v>
      </c>
      <c r="K5" s="5" t="s">
        <v>10</v>
      </c>
      <c r="L5" s="5" t="s">
        <v>11</v>
      </c>
      <c r="M5" s="5" t="s">
        <v>11</v>
      </c>
      <c r="N5" s="5" t="s">
        <v>11</v>
      </c>
      <c r="O5" s="684" t="s">
        <v>31</v>
      </c>
      <c r="Q5" s="684" t="s">
        <v>15</v>
      </c>
      <c r="R5" s="5" t="s">
        <v>12</v>
      </c>
      <c r="S5" s="5" t="s">
        <v>12</v>
      </c>
      <c r="T5" s="5" t="s">
        <v>9</v>
      </c>
      <c r="U5" s="5" t="s">
        <v>10</v>
      </c>
      <c r="V5" s="5" t="s">
        <v>10</v>
      </c>
      <c r="W5" s="5" t="s">
        <v>11</v>
      </c>
      <c r="X5" s="5" t="s">
        <v>11</v>
      </c>
      <c r="Y5" s="5" t="s">
        <v>10</v>
      </c>
      <c r="Z5" s="5" t="s">
        <v>10</v>
      </c>
      <c r="AA5" s="5" t="s">
        <v>11</v>
      </c>
      <c r="AB5" s="5" t="s">
        <v>11</v>
      </c>
      <c r="AC5" s="5" t="s">
        <v>11</v>
      </c>
      <c r="AD5" s="684" t="s">
        <v>31</v>
      </c>
    </row>
    <row r="6" spans="2:30">
      <c r="B6" s="684">
        <v>1</v>
      </c>
      <c r="C6" s="3"/>
      <c r="D6" s="7">
        <f>結果!M112</f>
        <v>0</v>
      </c>
      <c r="E6" s="2">
        <f>温度条件他根拠!E21*温度条件他根拠!E22</f>
        <v>0</v>
      </c>
      <c r="F6" s="2">
        <v>0</v>
      </c>
      <c r="G6" s="6">
        <f>(温度条件他根拠!$D$10-温度条件他根拠!D8)/(温度条件他根拠!$D$10-温度条件他根拠!$D$8)</f>
        <v>1</v>
      </c>
      <c r="H6" s="7">
        <f>$C$13*E6*F6/1000</f>
        <v>0</v>
      </c>
      <c r="I6" s="7">
        <f>G6*E6*$D$6/1000</f>
        <v>0</v>
      </c>
      <c r="J6" s="6">
        <f>温度条件他根拠!$C$61</f>
        <v>3.55</v>
      </c>
      <c r="K6" s="6">
        <f>温度条件他根拠!$C$62</f>
        <v>3.95</v>
      </c>
      <c r="L6" s="7">
        <f t="shared" ref="L6:M17" si="0">H6/J6</f>
        <v>0</v>
      </c>
      <c r="M6" s="7">
        <f t="shared" si="0"/>
        <v>0</v>
      </c>
      <c r="N6" s="13">
        <f>L6+M6</f>
        <v>0</v>
      </c>
      <c r="O6" s="12">
        <f>N6*0.495/1000</f>
        <v>0</v>
      </c>
      <c r="Q6" s="684">
        <v>1</v>
      </c>
      <c r="R6" s="3"/>
      <c r="S6" s="7">
        <f>結果!Q126</f>
        <v>0</v>
      </c>
      <c r="T6" s="2">
        <f>温度条件他根拠!E21*温度条件他根拠!E22</f>
        <v>0</v>
      </c>
      <c r="U6" s="2">
        <v>0</v>
      </c>
      <c r="V6" s="6">
        <f>(温度条件他根拠!$D$10-温度条件他根拠!D8)/(温度条件他根拠!$D$10-温度条件他根拠!$D$8)</f>
        <v>1</v>
      </c>
      <c r="W6" s="7">
        <f>$R$13*T6*U6/1000</f>
        <v>0</v>
      </c>
      <c r="X6" s="7">
        <f>V6*T6*$S$6/1000</f>
        <v>0</v>
      </c>
      <c r="Y6" s="6">
        <f>温度条件他根拠!$C$61</f>
        <v>3.55</v>
      </c>
      <c r="Z6" s="6">
        <f>温度条件他根拠!$C$62</f>
        <v>3.95</v>
      </c>
      <c r="AA6" s="7">
        <f t="shared" ref="AA6:AB17" si="1">W6/Y6</f>
        <v>0</v>
      </c>
      <c r="AB6" s="7">
        <f t="shared" si="1"/>
        <v>0</v>
      </c>
      <c r="AC6" s="13">
        <f>AA6+AB6</f>
        <v>0</v>
      </c>
      <c r="AD6" s="12">
        <f>AC6*0.495/1000</f>
        <v>0</v>
      </c>
    </row>
    <row r="7" spans="2:30">
      <c r="B7" s="684">
        <v>2</v>
      </c>
      <c r="C7" s="3"/>
      <c r="D7" s="3"/>
      <c r="E7" s="2">
        <f>E6</f>
        <v>0</v>
      </c>
      <c r="F7" s="2">
        <v>0</v>
      </c>
      <c r="G7" s="6">
        <f>(温度条件他根拠!$D$10--0.6)/(温度条件他根拠!$D$10-温度条件他根拠!$D$8)</f>
        <v>0.95813953488372094</v>
      </c>
      <c r="H7" s="7">
        <f t="shared" ref="H7:H17" si="2">$C$13*E7*F7/1000</f>
        <v>0</v>
      </c>
      <c r="I7" s="7">
        <f t="shared" ref="I7:I17" si="3">G7*E7*$D$6/1000</f>
        <v>0</v>
      </c>
      <c r="J7" s="6">
        <f>温度条件他根拠!$C$61</f>
        <v>3.55</v>
      </c>
      <c r="K7" s="6">
        <f>温度条件他根拠!$C$62</f>
        <v>3.95</v>
      </c>
      <c r="L7" s="7">
        <f t="shared" si="0"/>
        <v>0</v>
      </c>
      <c r="M7" s="7">
        <f t="shared" si="0"/>
        <v>0</v>
      </c>
      <c r="N7" s="13">
        <f t="shared" ref="N7:N17" si="4">L7+M7</f>
        <v>0</v>
      </c>
      <c r="O7" s="12">
        <f t="shared" ref="O7:O17" si="5">N7*0.495/1000</f>
        <v>0</v>
      </c>
      <c r="Q7" s="684">
        <v>2</v>
      </c>
      <c r="R7" s="3"/>
      <c r="S7" s="3"/>
      <c r="T7" s="2">
        <f>T6</f>
        <v>0</v>
      </c>
      <c r="U7" s="2">
        <v>0</v>
      </c>
      <c r="V7" s="6">
        <f>(温度条件他根拠!$D$10--0.6)/(温度条件他根拠!$D$10-温度条件他根拠!$D$8)</f>
        <v>0.95813953488372094</v>
      </c>
      <c r="W7" s="7">
        <f>$R$13*T7*U7/1000</f>
        <v>0</v>
      </c>
      <c r="X7" s="7">
        <f>V7*T7*$S$6/1000</f>
        <v>0</v>
      </c>
      <c r="Y7" s="6">
        <f>温度条件他根拠!$C$61</f>
        <v>3.55</v>
      </c>
      <c r="Z7" s="6">
        <f>温度条件他根拠!$C$62</f>
        <v>3.95</v>
      </c>
      <c r="AA7" s="7">
        <f t="shared" si="1"/>
        <v>0</v>
      </c>
      <c r="AB7" s="7">
        <f t="shared" si="1"/>
        <v>0</v>
      </c>
      <c r="AC7" s="13">
        <f t="shared" ref="AC7:AC17" si="6">AA7+AB7</f>
        <v>0</v>
      </c>
      <c r="AD7" s="12">
        <f t="shared" ref="AD7:AD17" si="7">AC7*0.495/1000</f>
        <v>0</v>
      </c>
    </row>
    <row r="8" spans="2:30">
      <c r="B8" s="684">
        <v>3</v>
      </c>
      <c r="C8" s="3"/>
      <c r="D8" s="3"/>
      <c r="E8" s="2">
        <f t="shared" ref="E8:E17" si="8">E7</f>
        <v>0</v>
      </c>
      <c r="F8" s="2">
        <v>0</v>
      </c>
      <c r="G8" s="6">
        <f>(温度条件他根拠!$D$10-2.8)/(温度条件他根拠!$D$10-温度条件他根拠!$D$8)</f>
        <v>0.79999999999999993</v>
      </c>
      <c r="H8" s="7">
        <f t="shared" si="2"/>
        <v>0</v>
      </c>
      <c r="I8" s="7">
        <f t="shared" si="3"/>
        <v>0</v>
      </c>
      <c r="J8" s="6">
        <f>温度条件他根拠!$C$61</f>
        <v>3.55</v>
      </c>
      <c r="K8" s="6">
        <f>温度条件他根拠!$C$62</f>
        <v>3.95</v>
      </c>
      <c r="L8" s="7">
        <f t="shared" si="0"/>
        <v>0</v>
      </c>
      <c r="M8" s="7">
        <f t="shared" si="0"/>
        <v>0</v>
      </c>
      <c r="N8" s="13">
        <f t="shared" si="4"/>
        <v>0</v>
      </c>
      <c r="O8" s="12">
        <f t="shared" si="5"/>
        <v>0</v>
      </c>
      <c r="Q8" s="684">
        <v>3</v>
      </c>
      <c r="R8" s="3"/>
      <c r="S8" s="3"/>
      <c r="T8" s="2">
        <f t="shared" ref="T8:T17" si="9">T7</f>
        <v>0</v>
      </c>
      <c r="U8" s="2">
        <v>0</v>
      </c>
      <c r="V8" s="6">
        <f>(温度条件他根拠!$D$10-2.8)/(温度条件他根拠!$D$10-温度条件他根拠!$D$8)</f>
        <v>0.79999999999999993</v>
      </c>
      <c r="W8" s="7">
        <f>$R$13*T8*U8/1000</f>
        <v>0</v>
      </c>
      <c r="X8" s="7">
        <f>V8*T8*$S$6/1000</f>
        <v>0</v>
      </c>
      <c r="Y8" s="6">
        <f>温度条件他根拠!$C$61</f>
        <v>3.55</v>
      </c>
      <c r="Z8" s="6">
        <f>温度条件他根拠!$C$62</f>
        <v>3.95</v>
      </c>
      <c r="AA8" s="7">
        <f t="shared" si="1"/>
        <v>0</v>
      </c>
      <c r="AB8" s="7">
        <f t="shared" si="1"/>
        <v>0</v>
      </c>
      <c r="AC8" s="13">
        <f t="shared" si="6"/>
        <v>0</v>
      </c>
      <c r="AD8" s="12">
        <f t="shared" si="7"/>
        <v>0</v>
      </c>
    </row>
    <row r="9" spans="2:30">
      <c r="B9" s="684">
        <v>4</v>
      </c>
      <c r="C9" s="3"/>
      <c r="D9" s="3"/>
      <c r="E9" s="2">
        <f t="shared" si="8"/>
        <v>0</v>
      </c>
      <c r="F9" s="2">
        <v>0</v>
      </c>
      <c r="G9" s="6">
        <f>(温度条件他根拠!$D$10-8.1)/(温度条件他根拠!$D$10-温度条件他根拠!$D$8)</f>
        <v>0.55348837209302326</v>
      </c>
      <c r="H9" s="7">
        <f t="shared" si="2"/>
        <v>0</v>
      </c>
      <c r="I9" s="7">
        <f t="shared" si="3"/>
        <v>0</v>
      </c>
      <c r="J9" s="6">
        <f>温度条件他根拠!$C$61</f>
        <v>3.55</v>
      </c>
      <c r="K9" s="6">
        <f>温度条件他根拠!$C$62</f>
        <v>3.95</v>
      </c>
      <c r="L9" s="7">
        <f t="shared" si="0"/>
        <v>0</v>
      </c>
      <c r="M9" s="7">
        <f t="shared" si="0"/>
        <v>0</v>
      </c>
      <c r="N9" s="13">
        <f t="shared" si="4"/>
        <v>0</v>
      </c>
      <c r="O9" s="12">
        <f t="shared" si="5"/>
        <v>0</v>
      </c>
      <c r="Q9" s="684">
        <v>4</v>
      </c>
      <c r="R9" s="3"/>
      <c r="S9" s="3"/>
      <c r="T9" s="2">
        <f t="shared" si="9"/>
        <v>0</v>
      </c>
      <c r="U9" s="2">
        <v>0</v>
      </c>
      <c r="V9" s="6">
        <f>(温度条件他根拠!$D$10-8.1)/(温度条件他根拠!$D$10-温度条件他根拠!$D$8)</f>
        <v>0.55348837209302326</v>
      </c>
      <c r="W9" s="7">
        <f>$R$13*T9*U9/1000</f>
        <v>0</v>
      </c>
      <c r="X9" s="7">
        <f>V9*T9*$S$6/1000</f>
        <v>0</v>
      </c>
      <c r="Y9" s="6">
        <f>温度条件他根拠!$C$61</f>
        <v>3.55</v>
      </c>
      <c r="Z9" s="6">
        <f>温度条件他根拠!$C$62</f>
        <v>3.95</v>
      </c>
      <c r="AA9" s="7">
        <f t="shared" si="1"/>
        <v>0</v>
      </c>
      <c r="AB9" s="7">
        <f t="shared" si="1"/>
        <v>0</v>
      </c>
      <c r="AC9" s="13">
        <f t="shared" si="6"/>
        <v>0</v>
      </c>
      <c r="AD9" s="12">
        <f t="shared" si="7"/>
        <v>0</v>
      </c>
    </row>
    <row r="10" spans="2:30">
      <c r="B10" s="684">
        <v>5</v>
      </c>
      <c r="C10" s="3"/>
      <c r="D10" s="3"/>
      <c r="E10" s="2">
        <f t="shared" si="8"/>
        <v>0</v>
      </c>
      <c r="F10" s="6">
        <f>(温度条件他根拠!$D$7-温度条件他根拠!$D$9)/(温度条件他根拠!$D$7-23.2)</f>
        <v>0.42168674698795178</v>
      </c>
      <c r="G10" s="6">
        <f>(温度条件他根拠!$D$10-13.4)/(温度条件他根拠!$D$10-温度条件他根拠!$D$8)</f>
        <v>0.30697674418604648</v>
      </c>
      <c r="H10" s="689">
        <f>0.25*$C$13*E10*F10/1000</f>
        <v>0</v>
      </c>
      <c r="I10" s="689">
        <f>0.25*G10*E10*$D$6/1000</f>
        <v>0</v>
      </c>
      <c r="J10" s="6">
        <f>温度条件他根拠!$C$61</f>
        <v>3.55</v>
      </c>
      <c r="K10" s="6">
        <f>温度条件他根拠!$C$62</f>
        <v>3.95</v>
      </c>
      <c r="L10" s="7">
        <f t="shared" si="0"/>
        <v>0</v>
      </c>
      <c r="M10" s="7">
        <f t="shared" si="0"/>
        <v>0</v>
      </c>
      <c r="N10" s="13">
        <f t="shared" si="4"/>
        <v>0</v>
      </c>
      <c r="O10" s="12">
        <f t="shared" si="5"/>
        <v>0</v>
      </c>
      <c r="Q10" s="684">
        <v>5</v>
      </c>
      <c r="R10" s="3"/>
      <c r="S10" s="3"/>
      <c r="T10" s="2">
        <f t="shared" si="9"/>
        <v>0</v>
      </c>
      <c r="U10" s="6">
        <f>(温度条件他根拠!$D$7-温度条件他根拠!$D$9)/(温度条件他根拠!$D$7-23.2)</f>
        <v>0.42168674698795178</v>
      </c>
      <c r="V10" s="6">
        <f>(温度条件他根拠!$D$10-13.4)/(温度条件他根拠!$D$10-温度条件他根拠!$D$8)</f>
        <v>0.30697674418604648</v>
      </c>
      <c r="W10" s="689">
        <f>0.25*$R$13*T10*U10/1000</f>
        <v>0</v>
      </c>
      <c r="X10" s="689">
        <f>0.25*V10*T10*$S$6/1000</f>
        <v>0</v>
      </c>
      <c r="Y10" s="6">
        <f>温度条件他根拠!$C$61</f>
        <v>3.55</v>
      </c>
      <c r="Z10" s="6">
        <f>温度条件他根拠!$C$62</f>
        <v>3.95</v>
      </c>
      <c r="AA10" s="7">
        <f t="shared" si="1"/>
        <v>0</v>
      </c>
      <c r="AB10" s="7">
        <f t="shared" si="1"/>
        <v>0</v>
      </c>
      <c r="AC10" s="13">
        <f t="shared" si="6"/>
        <v>0</v>
      </c>
      <c r="AD10" s="12">
        <f t="shared" si="7"/>
        <v>0</v>
      </c>
    </row>
    <row r="11" spans="2:30">
      <c r="B11" s="684">
        <v>6</v>
      </c>
      <c r="C11" s="3"/>
      <c r="D11" s="3"/>
      <c r="E11" s="2">
        <f t="shared" si="8"/>
        <v>0</v>
      </c>
      <c r="F11" s="6">
        <f>(温度条件他根拠!$D$7-温度条件他根拠!$D$9)/(温度条件他根拠!$D$7-26)</f>
        <v>0.63636363636363635</v>
      </c>
      <c r="G11" s="2">
        <v>0</v>
      </c>
      <c r="H11" s="7">
        <f t="shared" si="2"/>
        <v>0</v>
      </c>
      <c r="I11" s="7">
        <f t="shared" si="3"/>
        <v>0</v>
      </c>
      <c r="J11" s="6">
        <f>温度条件他根拠!$C$61</f>
        <v>3.55</v>
      </c>
      <c r="K11" s="6">
        <f>温度条件他根拠!$C$62</f>
        <v>3.95</v>
      </c>
      <c r="L11" s="7">
        <f t="shared" si="0"/>
        <v>0</v>
      </c>
      <c r="M11" s="7">
        <f t="shared" si="0"/>
        <v>0</v>
      </c>
      <c r="N11" s="13">
        <f t="shared" si="4"/>
        <v>0</v>
      </c>
      <c r="O11" s="12">
        <f t="shared" si="5"/>
        <v>0</v>
      </c>
      <c r="Q11" s="684">
        <v>6</v>
      </c>
      <c r="R11" s="3"/>
      <c r="S11" s="3"/>
      <c r="T11" s="2">
        <f t="shared" si="9"/>
        <v>0</v>
      </c>
      <c r="U11" s="6">
        <f>(温度条件他根拠!$D$7-温度条件他根拠!$D$9)/(温度条件他根拠!$D$7-26)</f>
        <v>0.63636363636363635</v>
      </c>
      <c r="V11" s="2">
        <v>0</v>
      </c>
      <c r="W11" s="7">
        <f>$R$13*T11*U11/1000</f>
        <v>0</v>
      </c>
      <c r="X11" s="7">
        <f>V11*T11*$S$6/1000</f>
        <v>0</v>
      </c>
      <c r="Y11" s="6">
        <f>温度条件他根拠!$C$61</f>
        <v>3.55</v>
      </c>
      <c r="Z11" s="6">
        <f>温度条件他根拠!$C$62</f>
        <v>3.95</v>
      </c>
      <c r="AA11" s="7">
        <f t="shared" si="1"/>
        <v>0</v>
      </c>
      <c r="AB11" s="7">
        <f t="shared" si="1"/>
        <v>0</v>
      </c>
      <c r="AC11" s="13">
        <f t="shared" si="6"/>
        <v>0</v>
      </c>
      <c r="AD11" s="12">
        <f t="shared" si="7"/>
        <v>0</v>
      </c>
    </row>
    <row r="12" spans="2:30">
      <c r="B12" s="684">
        <v>7</v>
      </c>
      <c r="C12" s="3"/>
      <c r="D12" s="3"/>
      <c r="E12" s="2">
        <f t="shared" si="8"/>
        <v>0</v>
      </c>
      <c r="F12" s="6">
        <f>(温度条件他根拠!$D$7-温度条件他根拠!$D$9)/(温度条件他根拠!$D$7-28)</f>
        <v>1</v>
      </c>
      <c r="G12" s="2">
        <v>0</v>
      </c>
      <c r="H12" s="7">
        <f t="shared" si="2"/>
        <v>0</v>
      </c>
      <c r="I12" s="7">
        <f t="shared" si="3"/>
        <v>0</v>
      </c>
      <c r="J12" s="6">
        <f>温度条件他根拠!$C$61</f>
        <v>3.55</v>
      </c>
      <c r="K12" s="6">
        <f>温度条件他根拠!$C$62</f>
        <v>3.95</v>
      </c>
      <c r="L12" s="7">
        <f t="shared" si="0"/>
        <v>0</v>
      </c>
      <c r="M12" s="7">
        <f t="shared" si="0"/>
        <v>0</v>
      </c>
      <c r="N12" s="13">
        <f t="shared" si="4"/>
        <v>0</v>
      </c>
      <c r="O12" s="12">
        <f t="shared" si="5"/>
        <v>0</v>
      </c>
      <c r="Q12" s="684">
        <v>7</v>
      </c>
      <c r="R12" s="3"/>
      <c r="S12" s="3"/>
      <c r="T12" s="2">
        <f t="shared" si="9"/>
        <v>0</v>
      </c>
      <c r="U12" s="6">
        <f>(温度条件他根拠!$D$7-温度条件他根拠!$D$9)/(温度条件他根拠!$D$7-28)</f>
        <v>1</v>
      </c>
      <c r="V12" s="2">
        <v>0</v>
      </c>
      <c r="W12" s="7">
        <f>$R$13*T12*U12/1000</f>
        <v>0</v>
      </c>
      <c r="X12" s="7">
        <f>V12*T12*$S$6/1000</f>
        <v>0</v>
      </c>
      <c r="Y12" s="6">
        <f>温度条件他根拠!$C$61</f>
        <v>3.55</v>
      </c>
      <c r="Z12" s="6">
        <f>温度条件他根拠!$C$62</f>
        <v>3.95</v>
      </c>
      <c r="AA12" s="7">
        <f t="shared" si="1"/>
        <v>0</v>
      </c>
      <c r="AB12" s="7">
        <f t="shared" si="1"/>
        <v>0</v>
      </c>
      <c r="AC12" s="13">
        <f t="shared" si="6"/>
        <v>0</v>
      </c>
      <c r="AD12" s="12">
        <f t="shared" si="7"/>
        <v>0</v>
      </c>
    </row>
    <row r="13" spans="2:30">
      <c r="B13" s="684">
        <v>8</v>
      </c>
      <c r="C13" s="7">
        <f>結果!I112</f>
        <v>0</v>
      </c>
      <c r="D13" s="3"/>
      <c r="E13" s="2">
        <f t="shared" si="8"/>
        <v>0</v>
      </c>
      <c r="F13" s="6">
        <f>(温度条件他根拠!$D$7-温度条件他根拠!$D$9)/(温度条件他根拠!$D$7-28)</f>
        <v>1</v>
      </c>
      <c r="G13" s="2">
        <v>0</v>
      </c>
      <c r="H13" s="7">
        <f>$C$13*E13*F13/1000</f>
        <v>0</v>
      </c>
      <c r="I13" s="7">
        <f t="shared" si="3"/>
        <v>0</v>
      </c>
      <c r="J13" s="6">
        <f>温度条件他根拠!$C$61</f>
        <v>3.55</v>
      </c>
      <c r="K13" s="6">
        <f>温度条件他根拠!$C$62</f>
        <v>3.95</v>
      </c>
      <c r="L13" s="7">
        <f t="shared" si="0"/>
        <v>0</v>
      </c>
      <c r="M13" s="7">
        <f t="shared" si="0"/>
        <v>0</v>
      </c>
      <c r="N13" s="13">
        <f t="shared" si="4"/>
        <v>0</v>
      </c>
      <c r="O13" s="12">
        <f t="shared" si="5"/>
        <v>0</v>
      </c>
      <c r="Q13" s="684">
        <v>8</v>
      </c>
      <c r="R13" s="7">
        <f>結果!I126</f>
        <v>0</v>
      </c>
      <c r="S13" s="3"/>
      <c r="T13" s="2">
        <f t="shared" si="9"/>
        <v>0</v>
      </c>
      <c r="U13" s="6">
        <f>(温度条件他根拠!$D$7-温度条件他根拠!$D$9)/(温度条件他根拠!$D$7-28)</f>
        <v>1</v>
      </c>
      <c r="V13" s="2">
        <v>0</v>
      </c>
      <c r="W13" s="7">
        <f>$R$13*T13*U13/1000</f>
        <v>0</v>
      </c>
      <c r="X13" s="7">
        <f>V13*T13*$S$6/1000</f>
        <v>0</v>
      </c>
      <c r="Y13" s="6">
        <f>温度条件他根拠!$C$61</f>
        <v>3.55</v>
      </c>
      <c r="Z13" s="6">
        <f>温度条件他根拠!$C$62</f>
        <v>3.95</v>
      </c>
      <c r="AA13" s="7">
        <f t="shared" si="1"/>
        <v>0</v>
      </c>
      <c r="AB13" s="7">
        <f t="shared" si="1"/>
        <v>0</v>
      </c>
      <c r="AC13" s="13">
        <f t="shared" si="6"/>
        <v>0</v>
      </c>
      <c r="AD13" s="12">
        <f t="shared" si="7"/>
        <v>0</v>
      </c>
    </row>
    <row r="14" spans="2:30">
      <c r="B14" s="684">
        <v>9</v>
      </c>
      <c r="C14" s="3"/>
      <c r="D14" s="3"/>
      <c r="E14" s="2">
        <f t="shared" si="8"/>
        <v>0</v>
      </c>
      <c r="F14" s="6">
        <f>(温度条件他根拠!$D$7-温度条件他根拠!$D$9)/(温度条件他根拠!$D$7-27.1)</f>
        <v>0.79545454545454575</v>
      </c>
      <c r="G14" s="2">
        <v>0</v>
      </c>
      <c r="H14" s="7">
        <f t="shared" si="2"/>
        <v>0</v>
      </c>
      <c r="I14" s="7">
        <f t="shared" si="3"/>
        <v>0</v>
      </c>
      <c r="J14" s="6">
        <f>温度条件他根拠!$C$61</f>
        <v>3.55</v>
      </c>
      <c r="K14" s="6">
        <f>温度条件他根拠!$C$62</f>
        <v>3.95</v>
      </c>
      <c r="L14" s="7">
        <f t="shared" si="0"/>
        <v>0</v>
      </c>
      <c r="M14" s="7">
        <f t="shared" si="0"/>
        <v>0</v>
      </c>
      <c r="N14" s="13">
        <f t="shared" si="4"/>
        <v>0</v>
      </c>
      <c r="O14" s="12">
        <f t="shared" si="5"/>
        <v>0</v>
      </c>
      <c r="Q14" s="684">
        <v>9</v>
      </c>
      <c r="R14" s="3"/>
      <c r="S14" s="3"/>
      <c r="T14" s="2">
        <f t="shared" si="9"/>
        <v>0</v>
      </c>
      <c r="U14" s="6">
        <f>(温度条件他根拠!$D$7-温度条件他根拠!$D$9)/(温度条件他根拠!$D$7-27.1)</f>
        <v>0.79545454545454575</v>
      </c>
      <c r="V14" s="2">
        <v>0</v>
      </c>
      <c r="W14" s="7">
        <f>$R$13*T14*U14/1000</f>
        <v>0</v>
      </c>
      <c r="X14" s="7">
        <f>V14*T14*$S$6/1000</f>
        <v>0</v>
      </c>
      <c r="Y14" s="6">
        <f>温度条件他根拠!$C$61</f>
        <v>3.55</v>
      </c>
      <c r="Z14" s="6">
        <f>温度条件他根拠!$C$62</f>
        <v>3.95</v>
      </c>
      <c r="AA14" s="7">
        <f t="shared" si="1"/>
        <v>0</v>
      </c>
      <c r="AB14" s="7">
        <f t="shared" si="1"/>
        <v>0</v>
      </c>
      <c r="AC14" s="13">
        <f t="shared" si="6"/>
        <v>0</v>
      </c>
      <c r="AD14" s="12">
        <f t="shared" si="7"/>
        <v>0</v>
      </c>
    </row>
    <row r="15" spans="2:30">
      <c r="B15" s="684">
        <v>10</v>
      </c>
      <c r="C15" s="3"/>
      <c r="D15" s="3"/>
      <c r="E15" s="2">
        <f t="shared" si="8"/>
        <v>0</v>
      </c>
      <c r="F15" s="6">
        <f>(温度条件他根拠!$D$7-温度条件他根拠!$D$9)/(温度条件他根拠!$D$7-21.6)</f>
        <v>0.35353535353535359</v>
      </c>
      <c r="G15" s="6">
        <f>(温度条件他根拠!$D$10-12.8)/(温度条件他根拠!$D$10-温度条件他根拠!$D$8)</f>
        <v>0.3348837209302325</v>
      </c>
      <c r="H15" s="689">
        <f>0.25*$C$13*E15*F15/1000</f>
        <v>0</v>
      </c>
      <c r="I15" s="689">
        <f>0.25*G15*E15*$D$6/1000</f>
        <v>0</v>
      </c>
      <c r="J15" s="6">
        <f>温度条件他根拠!$C$61</f>
        <v>3.55</v>
      </c>
      <c r="K15" s="6">
        <f>温度条件他根拠!$C$62</f>
        <v>3.95</v>
      </c>
      <c r="L15" s="7">
        <f t="shared" si="0"/>
        <v>0</v>
      </c>
      <c r="M15" s="7">
        <f t="shared" si="0"/>
        <v>0</v>
      </c>
      <c r="N15" s="13">
        <f t="shared" si="4"/>
        <v>0</v>
      </c>
      <c r="O15" s="12">
        <f t="shared" si="5"/>
        <v>0</v>
      </c>
      <c r="Q15" s="684">
        <v>10</v>
      </c>
      <c r="R15" s="3"/>
      <c r="S15" s="3"/>
      <c r="T15" s="2">
        <f t="shared" si="9"/>
        <v>0</v>
      </c>
      <c r="U15" s="6">
        <f>(温度条件他根拠!$D$7-温度条件他根拠!$D$9)/(温度条件他根拠!$D$7-21.6)</f>
        <v>0.35353535353535359</v>
      </c>
      <c r="V15" s="6">
        <f>(温度条件他根拠!$D$10-12.8)/(温度条件他根拠!$D$10-温度条件他根拠!$D$8)</f>
        <v>0.3348837209302325</v>
      </c>
      <c r="W15" s="689">
        <f>0.25*$R$13*T15*U15/1000</f>
        <v>0</v>
      </c>
      <c r="X15" s="689">
        <f>0.25*V15*T15*$S$6/1000</f>
        <v>0</v>
      </c>
      <c r="Y15" s="6">
        <f>温度条件他根拠!$C$61</f>
        <v>3.55</v>
      </c>
      <c r="Z15" s="6">
        <f>温度条件他根拠!$C$62</f>
        <v>3.95</v>
      </c>
      <c r="AA15" s="7">
        <f t="shared" si="1"/>
        <v>0</v>
      </c>
      <c r="AB15" s="7">
        <f t="shared" si="1"/>
        <v>0</v>
      </c>
      <c r="AC15" s="13">
        <f t="shared" si="6"/>
        <v>0</v>
      </c>
      <c r="AD15" s="12">
        <f t="shared" si="7"/>
        <v>0</v>
      </c>
    </row>
    <row r="16" spans="2:30">
      <c r="B16" s="684">
        <v>11</v>
      </c>
      <c r="C16" s="3"/>
      <c r="D16" s="3"/>
      <c r="E16" s="2">
        <f t="shared" si="8"/>
        <v>0</v>
      </c>
      <c r="F16" s="2">
        <v>0</v>
      </c>
      <c r="G16" s="6">
        <f>(温度条件他根拠!$D$10-6.2)/(温度条件他根拠!$D$10-温度条件他根拠!$D$8)</f>
        <v>0.64186046511627914</v>
      </c>
      <c r="H16" s="7">
        <f t="shared" si="2"/>
        <v>0</v>
      </c>
      <c r="I16" s="7">
        <f t="shared" si="3"/>
        <v>0</v>
      </c>
      <c r="J16" s="6">
        <f>温度条件他根拠!$C$61</f>
        <v>3.55</v>
      </c>
      <c r="K16" s="6">
        <f>温度条件他根拠!$C$62</f>
        <v>3.95</v>
      </c>
      <c r="L16" s="7">
        <f t="shared" si="0"/>
        <v>0</v>
      </c>
      <c r="M16" s="7">
        <f t="shared" si="0"/>
        <v>0</v>
      </c>
      <c r="N16" s="13">
        <f t="shared" si="4"/>
        <v>0</v>
      </c>
      <c r="O16" s="12">
        <f t="shared" si="5"/>
        <v>0</v>
      </c>
      <c r="Q16" s="684">
        <v>11</v>
      </c>
      <c r="R16" s="3"/>
      <c r="S16" s="3"/>
      <c r="T16" s="2">
        <f t="shared" si="9"/>
        <v>0</v>
      </c>
      <c r="U16" s="2">
        <v>0</v>
      </c>
      <c r="V16" s="6">
        <f>(温度条件他根拠!$D$10-6.2)/(温度条件他根拠!$D$10-温度条件他根拠!$D$8)</f>
        <v>0.64186046511627914</v>
      </c>
      <c r="W16" s="7">
        <f>$R$13*T16*U16/1000</f>
        <v>0</v>
      </c>
      <c r="X16" s="7">
        <f>V16*T16*$S$6/1000</f>
        <v>0</v>
      </c>
      <c r="Y16" s="6">
        <f>温度条件他根拠!$C$61</f>
        <v>3.55</v>
      </c>
      <c r="Z16" s="6">
        <f>温度条件他根拠!$C$62</f>
        <v>3.95</v>
      </c>
      <c r="AA16" s="7">
        <f t="shared" si="1"/>
        <v>0</v>
      </c>
      <c r="AB16" s="7">
        <f t="shared" si="1"/>
        <v>0</v>
      </c>
      <c r="AC16" s="13">
        <f t="shared" si="6"/>
        <v>0</v>
      </c>
      <c r="AD16" s="12">
        <f t="shared" si="7"/>
        <v>0</v>
      </c>
    </row>
    <row r="17" spans="2:30">
      <c r="B17" s="684">
        <v>12</v>
      </c>
      <c r="C17" s="3"/>
      <c r="D17" s="3"/>
      <c r="E17" s="2">
        <f t="shared" si="8"/>
        <v>0</v>
      </c>
      <c r="F17" s="2">
        <v>0</v>
      </c>
      <c r="G17" s="6">
        <f>(温度条件他根拠!$D$10-0.8)/(温度条件他根拠!$D$10-温度条件他根拠!$D$8)</f>
        <v>0.89302325581395348</v>
      </c>
      <c r="H17" s="7">
        <f t="shared" si="2"/>
        <v>0</v>
      </c>
      <c r="I17" s="7">
        <f t="shared" si="3"/>
        <v>0</v>
      </c>
      <c r="J17" s="6">
        <f>温度条件他根拠!$C$61</f>
        <v>3.55</v>
      </c>
      <c r="K17" s="6">
        <f>温度条件他根拠!$C$62</f>
        <v>3.95</v>
      </c>
      <c r="L17" s="7">
        <f t="shared" si="0"/>
        <v>0</v>
      </c>
      <c r="M17" s="7">
        <f t="shared" si="0"/>
        <v>0</v>
      </c>
      <c r="N17" s="13">
        <f t="shared" si="4"/>
        <v>0</v>
      </c>
      <c r="O17" s="12">
        <f t="shared" si="5"/>
        <v>0</v>
      </c>
      <c r="Q17" s="684">
        <v>12</v>
      </c>
      <c r="R17" s="3"/>
      <c r="S17" s="3"/>
      <c r="T17" s="2">
        <f t="shared" si="9"/>
        <v>0</v>
      </c>
      <c r="U17" s="2">
        <v>0</v>
      </c>
      <c r="V17" s="6">
        <f>(温度条件他根拠!$D$10-0.8)/(温度条件他根拠!$D$10-温度条件他根拠!$D$8)</f>
        <v>0.89302325581395348</v>
      </c>
      <c r="W17" s="7">
        <f>$R$13*T17*U17/1000</f>
        <v>0</v>
      </c>
      <c r="X17" s="7">
        <f>V17*T17*$S$6/1000</f>
        <v>0</v>
      </c>
      <c r="Y17" s="6">
        <f>温度条件他根拠!$C$61</f>
        <v>3.55</v>
      </c>
      <c r="Z17" s="6">
        <f>温度条件他根拠!$C$62</f>
        <v>3.95</v>
      </c>
      <c r="AA17" s="7">
        <f t="shared" si="1"/>
        <v>0</v>
      </c>
      <c r="AB17" s="7">
        <f t="shared" si="1"/>
        <v>0</v>
      </c>
      <c r="AC17" s="13">
        <f t="shared" si="6"/>
        <v>0</v>
      </c>
      <c r="AD17" s="12">
        <f t="shared" si="7"/>
        <v>0</v>
      </c>
    </row>
    <row r="18" spans="2:30">
      <c r="B18" s="2" t="s">
        <v>1</v>
      </c>
      <c r="C18" s="3"/>
      <c r="D18" s="3"/>
      <c r="E18" s="7">
        <f>SUM(E6:E17)</f>
        <v>0</v>
      </c>
      <c r="F18" s="3"/>
      <c r="G18" s="3"/>
      <c r="H18" s="7">
        <f>SUM(H6:H17)</f>
        <v>0</v>
      </c>
      <c r="I18" s="7">
        <f>SUM(I6:I17)</f>
        <v>0</v>
      </c>
      <c r="J18" s="3"/>
      <c r="K18" s="3"/>
      <c r="L18" s="7">
        <f>SUM(L6:L17)</f>
        <v>0</v>
      </c>
      <c r="M18" s="7">
        <f>SUM(M6:M17)</f>
        <v>0</v>
      </c>
      <c r="N18" s="13">
        <f>SUM(N6:N17)</f>
        <v>0</v>
      </c>
      <c r="O18" s="17">
        <f>SUM(O6:O17)</f>
        <v>0</v>
      </c>
      <c r="Q18" s="2" t="s">
        <v>1</v>
      </c>
      <c r="R18" s="3"/>
      <c r="S18" s="3"/>
      <c r="T18" s="7">
        <f>SUM(T6:T17)</f>
        <v>0</v>
      </c>
      <c r="U18" s="3"/>
      <c r="V18" s="3"/>
      <c r="W18" s="7">
        <f>SUM(W6:W17)</f>
        <v>0</v>
      </c>
      <c r="X18" s="7">
        <f>SUM(X6:X17)</f>
        <v>0</v>
      </c>
      <c r="Y18" s="3"/>
      <c r="Z18" s="3"/>
      <c r="AA18" s="7">
        <f>SUM(AA6:AA17)</f>
        <v>0</v>
      </c>
      <c r="AB18" s="7">
        <f>SUM(AB6:AB17)</f>
        <v>0</v>
      </c>
      <c r="AC18" s="13">
        <f>SUM(AC6:AC17)</f>
        <v>0</v>
      </c>
      <c r="AD18" s="17">
        <f>SUM(AD6:AD17)</f>
        <v>0</v>
      </c>
    </row>
    <row r="20" spans="2:30">
      <c r="B20" s="8" t="s">
        <v>23</v>
      </c>
      <c r="C20" s="9"/>
      <c r="D20" s="9"/>
      <c r="E20" s="10">
        <f>L18+M18</f>
        <v>0</v>
      </c>
      <c r="F20" s="9" t="s">
        <v>13</v>
      </c>
      <c r="G20" s="8" t="s">
        <v>24</v>
      </c>
      <c r="H20" s="11"/>
      <c r="Q20" s="8" t="s">
        <v>572</v>
      </c>
      <c r="R20" s="9"/>
      <c r="S20" s="9"/>
      <c r="T20" s="10">
        <f>AA18+AB18</f>
        <v>0</v>
      </c>
      <c r="U20" s="9" t="s">
        <v>13</v>
      </c>
      <c r="V20" s="8" t="s">
        <v>24</v>
      </c>
      <c r="W20" s="11"/>
      <c r="Y20" s="8" t="s">
        <v>574</v>
      </c>
      <c r="Z20" s="9"/>
      <c r="AA20" s="9"/>
      <c r="AB20" s="290">
        <f>T20-E20</f>
        <v>0</v>
      </c>
      <c r="AC20" s="11" t="s">
        <v>13</v>
      </c>
    </row>
    <row r="21" spans="2:30">
      <c r="B21" s="8" t="s">
        <v>28</v>
      </c>
      <c r="C21" s="9"/>
      <c r="D21" s="9"/>
      <c r="E21" s="16">
        <f>E20*0.495/1000</f>
        <v>0</v>
      </c>
      <c r="F21" s="9" t="s">
        <v>7</v>
      </c>
      <c r="G21" s="8" t="s">
        <v>33</v>
      </c>
      <c r="H21" s="11"/>
      <c r="Q21" s="8" t="s">
        <v>573</v>
      </c>
      <c r="R21" s="9"/>
      <c r="S21" s="9"/>
      <c r="T21" s="16">
        <f>T20*0.495/1000</f>
        <v>0</v>
      </c>
      <c r="U21" s="9" t="s">
        <v>7</v>
      </c>
      <c r="V21" s="8" t="s">
        <v>33</v>
      </c>
      <c r="W21" s="11"/>
      <c r="Y21" s="8" t="s">
        <v>575</v>
      </c>
      <c r="Z21" s="9"/>
      <c r="AA21" s="9"/>
      <c r="AB21" s="290">
        <f>T21-E21</f>
        <v>0</v>
      </c>
      <c r="AC21" s="11" t="s">
        <v>7</v>
      </c>
    </row>
    <row r="44" spans="2:3">
      <c r="B44" s="691">
        <v>43927</v>
      </c>
      <c r="C44" s="690" t="s">
        <v>866</v>
      </c>
    </row>
  </sheetData>
  <mergeCells count="1">
    <mergeCell ref="B2:O2"/>
  </mergeCells>
  <phoneticPr fontId="2"/>
  <pageMargins left="0" right="0" top="0.55118110236220474" bottom="0.15748031496062992" header="0.11811023622047245" footer="0"/>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tabColor rgb="FFFFFF00"/>
  </sheetPr>
  <dimension ref="B1:AD63"/>
  <sheetViews>
    <sheetView topLeftCell="K14" workbookViewId="0">
      <selection activeCell="C67" sqref="C67"/>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7">
      <c r="B1" s="156">
        <f>温度条件他根拠!D6</f>
        <v>1</v>
      </c>
      <c r="C1" s="157"/>
      <c r="D1" s="705" t="str">
        <f ca="1">RIGHT(CELL("filename",D1),LEN(CELL("filename",D1))-FIND("]",CELL("filename",D1)))</f>
        <v>さいたま市屋根遮熱</v>
      </c>
      <c r="F1" s="81"/>
      <c r="G1" s="81"/>
      <c r="H1" s="81"/>
      <c r="I1" s="81"/>
      <c r="J1" s="81"/>
      <c r="K1" s="81"/>
      <c r="L1" s="81"/>
      <c r="M1" s="81"/>
      <c r="N1" s="81"/>
      <c r="O1" s="81"/>
    </row>
    <row r="2" spans="2:17">
      <c r="B2" s="817"/>
      <c r="C2" s="818"/>
      <c r="D2" s="817"/>
      <c r="E2" s="819"/>
      <c r="F2" s="818"/>
      <c r="G2" s="818"/>
      <c r="H2" s="818"/>
      <c r="I2" s="81"/>
      <c r="J2" s="81"/>
      <c r="K2" s="81"/>
      <c r="L2" s="81"/>
      <c r="M2" s="81"/>
      <c r="N2" s="81"/>
      <c r="O2" s="81"/>
    </row>
    <row r="3" spans="2:17">
      <c r="B3" s="817"/>
      <c r="C3" s="818"/>
      <c r="D3" s="817"/>
      <c r="E3" s="819"/>
      <c r="F3" s="818"/>
      <c r="G3" s="818"/>
      <c r="H3" s="818"/>
      <c r="I3" s="81"/>
      <c r="J3" s="81"/>
      <c r="K3" s="81"/>
      <c r="L3" s="81"/>
      <c r="M3" s="81"/>
      <c r="N3" s="81"/>
      <c r="O3" s="81"/>
    </row>
    <row r="4" spans="2:17">
      <c r="B4" s="820" t="s">
        <v>1093</v>
      </c>
      <c r="C4" s="821"/>
      <c r="D4" s="822"/>
      <c r="E4" s="823"/>
      <c r="F4" s="821"/>
      <c r="G4" s="821"/>
      <c r="H4" s="821"/>
      <c r="I4" s="824"/>
      <c r="J4" s="824"/>
      <c r="K4" s="824"/>
      <c r="L4" s="824"/>
      <c r="M4" s="824"/>
      <c r="N4" s="824"/>
      <c r="O4" s="81"/>
    </row>
    <row r="5" spans="2:17">
      <c r="B5" s="2065" t="s">
        <v>1094</v>
      </c>
      <c r="C5" s="2065"/>
      <c r="D5" s="2065" t="s">
        <v>1095</v>
      </c>
      <c r="E5" s="2065"/>
      <c r="F5" s="2065"/>
      <c r="G5" s="2066" t="s">
        <v>1096</v>
      </c>
      <c r="H5" s="2065" t="s">
        <v>1097</v>
      </c>
      <c r="I5" s="2065"/>
      <c r="J5" s="2065"/>
      <c r="K5" s="2065"/>
      <c r="L5" s="2065"/>
      <c r="M5" s="2065"/>
      <c r="N5" s="2065"/>
      <c r="O5" s="81"/>
    </row>
    <row r="6" spans="2:17">
      <c r="B6" s="2065"/>
      <c r="C6" s="2065"/>
      <c r="D6" s="825" t="s">
        <v>1098</v>
      </c>
      <c r="E6" s="825" t="s">
        <v>1099</v>
      </c>
      <c r="F6" s="825" t="s">
        <v>1100</v>
      </c>
      <c r="G6" s="2065"/>
      <c r="H6" s="2065"/>
      <c r="I6" s="2065"/>
      <c r="J6" s="2065"/>
      <c r="K6" s="2065"/>
      <c r="L6" s="2065"/>
      <c r="M6" s="2065"/>
      <c r="N6" s="2065"/>
      <c r="O6" s="81"/>
    </row>
    <row r="7" spans="2:17">
      <c r="B7" s="826" t="s">
        <v>1101</v>
      </c>
      <c r="C7" s="1007" t="s">
        <v>1102</v>
      </c>
      <c r="D7" s="1003">
        <f>結果!H30</f>
        <v>0</v>
      </c>
      <c r="E7" s="1003">
        <f>結果!J30</f>
        <v>0</v>
      </c>
      <c r="F7" s="1003">
        <f>結果!L30</f>
        <v>0</v>
      </c>
      <c r="G7" s="828">
        <f>結果!Q30</f>
        <v>0</v>
      </c>
      <c r="H7" s="2067" t="s">
        <v>1103</v>
      </c>
      <c r="I7" s="2067"/>
      <c r="J7" s="2067"/>
      <c r="K7" s="2067"/>
      <c r="L7" s="2067"/>
      <c r="M7" s="2067"/>
      <c r="N7" s="2067"/>
      <c r="O7" s="81"/>
    </row>
    <row r="8" spans="2:17">
      <c r="B8" s="826" t="s">
        <v>1386</v>
      </c>
      <c r="C8" s="1008"/>
      <c r="D8" s="1005"/>
      <c r="E8" s="1006">
        <f>MAX(D7:F7)</f>
        <v>0</v>
      </c>
      <c r="F8" s="1002"/>
      <c r="G8" s="1002">
        <f>G7</f>
        <v>0</v>
      </c>
      <c r="H8" s="2067"/>
      <c r="I8" s="2067"/>
      <c r="J8" s="2067"/>
      <c r="K8" s="2067"/>
      <c r="L8" s="2067"/>
      <c r="M8" s="2067"/>
      <c r="N8" s="2067"/>
      <c r="O8" s="81"/>
    </row>
    <row r="9" spans="2:17">
      <c r="B9" s="826" t="s">
        <v>1104</v>
      </c>
      <c r="C9" s="827" t="s">
        <v>1105</v>
      </c>
      <c r="D9" s="1004">
        <f>結果!H70</f>
        <v>0</v>
      </c>
      <c r="E9" s="1004">
        <f>結果!J70</f>
        <v>0</v>
      </c>
      <c r="F9" s="1004">
        <f>結果!L70</f>
        <v>0</v>
      </c>
      <c r="G9" s="829">
        <f>結果!Q70</f>
        <v>0</v>
      </c>
      <c r="H9" s="2067"/>
      <c r="I9" s="2067"/>
      <c r="J9" s="2067"/>
      <c r="K9" s="2067"/>
      <c r="L9" s="2067"/>
      <c r="M9" s="2067"/>
      <c r="N9" s="2067"/>
      <c r="O9" s="81"/>
    </row>
    <row r="10" spans="2:17">
      <c r="B10" s="826" t="s">
        <v>1106</v>
      </c>
      <c r="C10" s="827" t="s">
        <v>1107</v>
      </c>
      <c r="D10" s="829">
        <f>D7-D9</f>
        <v>0</v>
      </c>
      <c r="E10" s="829">
        <f t="shared" ref="E10:G10" si="0">E7-E9</f>
        <v>0</v>
      </c>
      <c r="F10" s="829">
        <f t="shared" si="0"/>
        <v>0</v>
      </c>
      <c r="G10" s="829">
        <f t="shared" si="0"/>
        <v>0</v>
      </c>
      <c r="H10" s="2067"/>
      <c r="I10" s="2067"/>
      <c r="J10" s="2067"/>
      <c r="K10" s="2067"/>
      <c r="L10" s="2067"/>
      <c r="M10" s="2067"/>
      <c r="N10" s="2067"/>
      <c r="O10" s="81"/>
    </row>
    <row r="11" spans="2:17" ht="36">
      <c r="B11" s="830" t="s">
        <v>1385</v>
      </c>
      <c r="C11" s="830" t="s">
        <v>1108</v>
      </c>
      <c r="D11" s="2068">
        <f>MAX(D10:F10)</f>
        <v>0</v>
      </c>
      <c r="E11" s="2068"/>
      <c r="F11" s="2068"/>
      <c r="G11" s="829">
        <f>MAX(G10)</f>
        <v>0</v>
      </c>
      <c r="H11" s="2067" t="s">
        <v>1109</v>
      </c>
      <c r="I11" s="2067"/>
      <c r="J11" s="2067"/>
      <c r="K11" s="2067"/>
      <c r="L11" s="2067"/>
      <c r="M11" s="2067"/>
      <c r="N11" s="2067"/>
      <c r="O11" s="81"/>
    </row>
    <row r="12" spans="2:17" ht="24">
      <c r="B12" s="830" t="s">
        <v>1110</v>
      </c>
      <c r="C12" s="830" t="s">
        <v>1111</v>
      </c>
      <c r="D12" s="2068">
        <f>温度条件他根拠!C29</f>
        <v>0</v>
      </c>
      <c r="E12" s="2068"/>
      <c r="F12" s="2068"/>
      <c r="G12" s="829">
        <v>0</v>
      </c>
      <c r="H12" s="2067" t="s">
        <v>1112</v>
      </c>
      <c r="I12" s="2067"/>
      <c r="J12" s="2067"/>
      <c r="K12" s="2067"/>
      <c r="L12" s="2067"/>
      <c r="M12" s="2067"/>
      <c r="N12" s="2067"/>
      <c r="O12" s="81"/>
    </row>
    <row r="13" spans="2:17" ht="60">
      <c r="B13" s="830" t="s">
        <v>1113</v>
      </c>
      <c r="C13" s="830" t="s">
        <v>1114</v>
      </c>
      <c r="D13" s="2069">
        <f>D12*D11</f>
        <v>0</v>
      </c>
      <c r="E13" s="2070"/>
      <c r="F13" s="2071"/>
      <c r="G13" s="829">
        <f>G12*G11</f>
        <v>0</v>
      </c>
      <c r="H13" s="2072"/>
      <c r="I13" s="2073"/>
      <c r="J13" s="2073"/>
      <c r="K13" s="2073"/>
      <c r="L13" s="2073"/>
      <c r="M13" s="2073"/>
      <c r="N13" s="2074"/>
      <c r="O13" s="81"/>
    </row>
    <row r="14" spans="2:17">
      <c r="B14" s="831"/>
      <c r="C14" s="832"/>
      <c r="D14" s="833"/>
      <c r="E14" s="833"/>
      <c r="F14" s="833"/>
      <c r="G14" s="833"/>
      <c r="H14" s="834"/>
      <c r="I14" s="81"/>
      <c r="J14" s="81"/>
      <c r="K14" s="81"/>
      <c r="L14" s="81"/>
      <c r="M14" s="81"/>
      <c r="N14" s="81"/>
      <c r="O14" s="81"/>
    </row>
    <row r="15" spans="2:17">
      <c r="B15" s="817"/>
      <c r="C15" s="818"/>
      <c r="D15" s="817"/>
      <c r="E15" s="819"/>
      <c r="F15" s="818"/>
      <c r="G15" s="818"/>
      <c r="H15" s="818"/>
      <c r="I15" s="81"/>
      <c r="J15" s="81"/>
      <c r="K15" s="81"/>
      <c r="L15" s="81"/>
      <c r="M15" s="81"/>
      <c r="N15" s="81"/>
      <c r="O15" s="81"/>
    </row>
    <row r="16" spans="2:17">
      <c r="B16" s="1129" t="s">
        <v>183</v>
      </c>
      <c r="C16" s="1129"/>
      <c r="D16" s="1129"/>
      <c r="E16" s="1129"/>
      <c r="F16" s="1129"/>
      <c r="G16" s="1129"/>
      <c r="H16" s="1129"/>
      <c r="I16" s="1129"/>
      <c r="J16" s="1129"/>
      <c r="K16" s="1129"/>
      <c r="L16" s="1129"/>
      <c r="M16" s="1129"/>
      <c r="N16" s="1129"/>
      <c r="O16" s="1129"/>
      <c r="Q16" s="1" t="s">
        <v>563</v>
      </c>
    </row>
    <row r="17" spans="2:30" ht="36">
      <c r="B17" s="554" t="s">
        <v>0</v>
      </c>
      <c r="C17" s="814" t="s">
        <v>1117</v>
      </c>
      <c r="D17" s="814" t="s">
        <v>1118</v>
      </c>
      <c r="E17" s="814" t="s">
        <v>1116</v>
      </c>
      <c r="F17" s="20" t="s">
        <v>42</v>
      </c>
      <c r="G17" s="20" t="s">
        <v>43</v>
      </c>
      <c r="H17" s="18" t="s">
        <v>35</v>
      </c>
      <c r="I17" s="20" t="s">
        <v>36</v>
      </c>
      <c r="J17" s="20" t="s">
        <v>2</v>
      </c>
      <c r="K17" s="20" t="s">
        <v>3</v>
      </c>
      <c r="L17" s="20" t="s">
        <v>39</v>
      </c>
      <c r="M17" s="20" t="s">
        <v>38</v>
      </c>
      <c r="N17" s="20" t="s">
        <v>45</v>
      </c>
      <c r="O17" s="20" t="s">
        <v>44</v>
      </c>
      <c r="Q17" s="554" t="s">
        <v>0</v>
      </c>
      <c r="R17" s="988" t="s">
        <v>1391</v>
      </c>
      <c r="S17" s="988" t="s">
        <v>1392</v>
      </c>
      <c r="T17" s="988" t="s">
        <v>1116</v>
      </c>
      <c r="U17" s="20" t="s">
        <v>42</v>
      </c>
      <c r="V17" s="20" t="s">
        <v>43</v>
      </c>
      <c r="W17" s="18" t="s">
        <v>566</v>
      </c>
      <c r="X17" s="20" t="s">
        <v>567</v>
      </c>
      <c r="Y17" s="20" t="s">
        <v>2</v>
      </c>
      <c r="Z17" s="20" t="s">
        <v>3</v>
      </c>
      <c r="AA17" s="20" t="s">
        <v>568</v>
      </c>
      <c r="AB17" s="20" t="s">
        <v>569</v>
      </c>
      <c r="AC17" s="20" t="s">
        <v>570</v>
      </c>
      <c r="AD17" s="20" t="s">
        <v>571</v>
      </c>
    </row>
    <row r="18" spans="2:30" ht="36">
      <c r="B18" s="554" t="s">
        <v>14</v>
      </c>
      <c r="C18" s="20" t="s">
        <v>16</v>
      </c>
      <c r="D18" s="20" t="s">
        <v>17</v>
      </c>
      <c r="E18" s="20" t="s">
        <v>18</v>
      </c>
      <c r="F18" s="20" t="s">
        <v>19</v>
      </c>
      <c r="G18" s="20" t="s">
        <v>20</v>
      </c>
      <c r="H18" s="20" t="s">
        <v>30</v>
      </c>
      <c r="I18" s="20" t="s">
        <v>29</v>
      </c>
      <c r="J18" s="20" t="s">
        <v>21</v>
      </c>
      <c r="K18" s="20" t="s">
        <v>22</v>
      </c>
      <c r="L18" s="688" t="s">
        <v>608</v>
      </c>
      <c r="M18" s="688" t="s">
        <v>607</v>
      </c>
      <c r="N18" s="555" t="s">
        <v>25</v>
      </c>
      <c r="O18" s="20" t="s">
        <v>32</v>
      </c>
      <c r="Q18" s="554" t="s">
        <v>14</v>
      </c>
      <c r="R18" s="1014" t="s">
        <v>1387</v>
      </c>
      <c r="S18" s="1014" t="s">
        <v>1388</v>
      </c>
      <c r="T18" s="20" t="s">
        <v>18</v>
      </c>
      <c r="U18" s="20" t="s">
        <v>19</v>
      </c>
      <c r="V18" s="20" t="s">
        <v>20</v>
      </c>
      <c r="W18" s="20" t="s">
        <v>30</v>
      </c>
      <c r="X18" s="20" t="s">
        <v>29</v>
      </c>
      <c r="Y18" s="20" t="s">
        <v>21</v>
      </c>
      <c r="Z18" s="20" t="s">
        <v>22</v>
      </c>
      <c r="AA18" s="688" t="s">
        <v>608</v>
      </c>
      <c r="AB18" s="688" t="s">
        <v>607</v>
      </c>
      <c r="AC18" s="555" t="s">
        <v>25</v>
      </c>
      <c r="AD18" s="20" t="s">
        <v>32</v>
      </c>
    </row>
    <row r="19" spans="2:30">
      <c r="B19" s="553" t="s">
        <v>15</v>
      </c>
      <c r="C19" s="835" t="s">
        <v>1115</v>
      </c>
      <c r="D19" s="835" t="s">
        <v>1115</v>
      </c>
      <c r="E19" s="835" t="s">
        <v>172</v>
      </c>
      <c r="F19" s="5" t="s">
        <v>10</v>
      </c>
      <c r="G19" s="5" t="s">
        <v>10</v>
      </c>
      <c r="H19" s="5" t="s">
        <v>11</v>
      </c>
      <c r="I19" s="5" t="s">
        <v>11</v>
      </c>
      <c r="J19" s="5" t="s">
        <v>10</v>
      </c>
      <c r="K19" s="5" t="s">
        <v>10</v>
      </c>
      <c r="L19" s="5" t="s">
        <v>11</v>
      </c>
      <c r="M19" s="5" t="s">
        <v>11</v>
      </c>
      <c r="N19" s="5" t="s">
        <v>11</v>
      </c>
      <c r="O19" s="553" t="s">
        <v>31</v>
      </c>
      <c r="Q19" s="553" t="s">
        <v>15</v>
      </c>
      <c r="R19" s="835" t="s">
        <v>1115</v>
      </c>
      <c r="S19" s="835" t="s">
        <v>1115</v>
      </c>
      <c r="T19" s="835" t="s">
        <v>172</v>
      </c>
      <c r="U19" s="5" t="s">
        <v>10</v>
      </c>
      <c r="V19" s="5" t="s">
        <v>10</v>
      </c>
      <c r="W19" s="5" t="s">
        <v>11</v>
      </c>
      <c r="X19" s="5" t="s">
        <v>11</v>
      </c>
      <c r="Y19" s="5" t="s">
        <v>10</v>
      </c>
      <c r="Z19" s="5" t="s">
        <v>10</v>
      </c>
      <c r="AA19" s="5" t="s">
        <v>11</v>
      </c>
      <c r="AB19" s="5" t="s">
        <v>11</v>
      </c>
      <c r="AC19" s="5" t="s">
        <v>11</v>
      </c>
      <c r="AD19" s="553" t="s">
        <v>31</v>
      </c>
    </row>
    <row r="20" spans="2:30">
      <c r="B20" s="553">
        <v>1</v>
      </c>
      <c r="C20" s="3"/>
      <c r="D20" s="836">
        <f>G13</f>
        <v>0</v>
      </c>
      <c r="E20" s="837">
        <f>温度条件他根拠!E21</f>
        <v>0</v>
      </c>
      <c r="F20" s="2">
        <v>0</v>
      </c>
      <c r="G20" s="839">
        <f>0.8*(温度条件他根拠!$D$10-温度条件他根拠!D8)/(温度条件他根拠!$D$10-温度条件他根拠!$D$8)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553">
        <v>1</v>
      </c>
      <c r="R20" s="3"/>
      <c r="S20" s="836">
        <f>G8*G12</f>
        <v>0</v>
      </c>
      <c r="T20" s="837">
        <f>温度条件他根拠!E21</f>
        <v>0</v>
      </c>
      <c r="U20" s="838">
        <f>F20</f>
        <v>0</v>
      </c>
      <c r="V20" s="1001">
        <f>G20</f>
        <v>0.79999999999999993</v>
      </c>
      <c r="W20" s="7">
        <f t="shared" ref="W20:W31" si="2">$R$27*T20*U20/1000</f>
        <v>0</v>
      </c>
      <c r="X20" s="7">
        <f t="shared" ref="X20:X31"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553">
        <v>2</v>
      </c>
      <c r="C21" s="3"/>
      <c r="D21" s="3"/>
      <c r="E21" s="838">
        <f>E20</f>
        <v>0</v>
      </c>
      <c r="F21" s="2">
        <v>0</v>
      </c>
      <c r="G21" s="839">
        <f>0.8*(温度条件他根拠!$D$10--0.6)/(温度条件他根拠!$D$10-温度条件他根拠!$D$8)</f>
        <v>0.7665116279069768</v>
      </c>
      <c r="H21" s="7">
        <f t="shared" ref="H21:H31" si="5">$C$27*E21*F21/1000</f>
        <v>0</v>
      </c>
      <c r="I21" s="7">
        <f t="shared" ref="I21:I31" si="6">G21*E21*$D$20/1000</f>
        <v>0</v>
      </c>
      <c r="J21" s="6">
        <f>温度条件他根拠!$C$61</f>
        <v>3.55</v>
      </c>
      <c r="K21" s="6">
        <f>温度条件他根拠!$C$62</f>
        <v>3.95</v>
      </c>
      <c r="L21" s="7">
        <f t="shared" si="1"/>
        <v>0</v>
      </c>
      <c r="M21" s="7">
        <f t="shared" si="1"/>
        <v>0</v>
      </c>
      <c r="N21" s="13">
        <f t="shared" ref="N21:N31" si="7">L21+M21</f>
        <v>0</v>
      </c>
      <c r="O21" s="12">
        <f t="shared" ref="O21:O31" si="8">N21*0.495/1000</f>
        <v>0</v>
      </c>
      <c r="Q21" s="553">
        <v>2</v>
      </c>
      <c r="R21" s="3"/>
      <c r="S21" s="3"/>
      <c r="T21" s="838">
        <f>T20</f>
        <v>0</v>
      </c>
      <c r="U21" s="838">
        <f t="shared" ref="U21:V31" si="9">F21</f>
        <v>0</v>
      </c>
      <c r="V21" s="1001">
        <f t="shared" si="9"/>
        <v>0.7665116279069768</v>
      </c>
      <c r="W21" s="7">
        <f t="shared" si="2"/>
        <v>0</v>
      </c>
      <c r="X21" s="7">
        <f t="shared" si="3"/>
        <v>0</v>
      </c>
      <c r="Y21" s="6">
        <f>温度条件他根拠!$C$61</f>
        <v>3.55</v>
      </c>
      <c r="Z21" s="6">
        <f>温度条件他根拠!$C$62</f>
        <v>3.95</v>
      </c>
      <c r="AA21" s="7">
        <f t="shared" si="4"/>
        <v>0</v>
      </c>
      <c r="AB21" s="7">
        <f t="shared" si="4"/>
        <v>0</v>
      </c>
      <c r="AC21" s="13">
        <f t="shared" ref="AC21:AC31" si="10">AA21+AB21</f>
        <v>0</v>
      </c>
      <c r="AD21" s="12">
        <f t="shared" ref="AD21:AD31" si="11">AC21*0.495/1000</f>
        <v>0</v>
      </c>
    </row>
    <row r="22" spans="2:30">
      <c r="B22" s="553">
        <v>3</v>
      </c>
      <c r="C22" s="3"/>
      <c r="D22" s="3"/>
      <c r="E22" s="838">
        <f t="shared" ref="E22:E31" si="12">E21</f>
        <v>0</v>
      </c>
      <c r="F22" s="2">
        <v>0</v>
      </c>
      <c r="G22" s="839">
        <f>0.8*(温度条件他根拠!$D$10-2.8)/(温度条件他根拠!$D$10-温度条件他根拠!$D$8)</f>
        <v>0.64</v>
      </c>
      <c r="H22" s="7">
        <f t="shared" si="5"/>
        <v>0</v>
      </c>
      <c r="I22" s="7">
        <f t="shared" si="6"/>
        <v>0</v>
      </c>
      <c r="J22" s="6">
        <f>温度条件他根拠!$C$61</f>
        <v>3.55</v>
      </c>
      <c r="K22" s="6">
        <f>温度条件他根拠!$C$62</f>
        <v>3.95</v>
      </c>
      <c r="L22" s="7">
        <f t="shared" si="1"/>
        <v>0</v>
      </c>
      <c r="M22" s="7">
        <f t="shared" si="1"/>
        <v>0</v>
      </c>
      <c r="N22" s="13">
        <f t="shared" si="7"/>
        <v>0</v>
      </c>
      <c r="O22" s="12">
        <f t="shared" si="8"/>
        <v>0</v>
      </c>
      <c r="Q22" s="553">
        <v>3</v>
      </c>
      <c r="R22" s="3"/>
      <c r="S22" s="3"/>
      <c r="T22" s="838">
        <f t="shared" ref="T22:T31" si="13">T21</f>
        <v>0</v>
      </c>
      <c r="U22" s="838">
        <f t="shared" si="9"/>
        <v>0</v>
      </c>
      <c r="V22" s="1001">
        <f t="shared" si="9"/>
        <v>0.64</v>
      </c>
      <c r="W22" s="7">
        <f t="shared" si="2"/>
        <v>0</v>
      </c>
      <c r="X22" s="7">
        <f t="shared" si="3"/>
        <v>0</v>
      </c>
      <c r="Y22" s="6">
        <f>温度条件他根拠!$C$61</f>
        <v>3.55</v>
      </c>
      <c r="Z22" s="6">
        <f>温度条件他根拠!$C$62</f>
        <v>3.95</v>
      </c>
      <c r="AA22" s="7">
        <f t="shared" si="4"/>
        <v>0</v>
      </c>
      <c r="AB22" s="7">
        <f t="shared" si="4"/>
        <v>0</v>
      </c>
      <c r="AC22" s="13">
        <f t="shared" si="10"/>
        <v>0</v>
      </c>
      <c r="AD22" s="12">
        <f t="shared" si="11"/>
        <v>0</v>
      </c>
    </row>
    <row r="23" spans="2:30">
      <c r="B23" s="553">
        <v>4</v>
      </c>
      <c r="C23" s="3"/>
      <c r="D23" s="3"/>
      <c r="E23" s="838">
        <f t="shared" si="12"/>
        <v>0</v>
      </c>
      <c r="F23" s="2">
        <v>0</v>
      </c>
      <c r="G23" s="839">
        <f>0.8*(温度条件他根拠!$D$10-8.1)/(温度条件他根拠!$D$10-温度条件他根拠!$D$8)</f>
        <v>0.44279069767441864</v>
      </c>
      <c r="H23" s="7">
        <f t="shared" si="5"/>
        <v>0</v>
      </c>
      <c r="I23" s="7">
        <f t="shared" si="6"/>
        <v>0</v>
      </c>
      <c r="J23" s="6">
        <f>温度条件他根拠!$C$61</f>
        <v>3.55</v>
      </c>
      <c r="K23" s="6">
        <f>温度条件他根拠!$C$62</f>
        <v>3.95</v>
      </c>
      <c r="L23" s="7">
        <f t="shared" si="1"/>
        <v>0</v>
      </c>
      <c r="M23" s="7">
        <f t="shared" si="1"/>
        <v>0</v>
      </c>
      <c r="N23" s="13">
        <f t="shared" si="7"/>
        <v>0</v>
      </c>
      <c r="O23" s="12">
        <f t="shared" si="8"/>
        <v>0</v>
      </c>
      <c r="Q23" s="553">
        <v>4</v>
      </c>
      <c r="R23" s="3"/>
      <c r="S23" s="3"/>
      <c r="T23" s="838">
        <f t="shared" si="13"/>
        <v>0</v>
      </c>
      <c r="U23" s="838">
        <f t="shared" si="9"/>
        <v>0</v>
      </c>
      <c r="V23" s="1001">
        <f t="shared" si="9"/>
        <v>0.44279069767441864</v>
      </c>
      <c r="W23" s="7">
        <f t="shared" si="2"/>
        <v>0</v>
      </c>
      <c r="X23" s="7">
        <f t="shared" si="3"/>
        <v>0</v>
      </c>
      <c r="Y23" s="6">
        <f>温度条件他根拠!$C$61</f>
        <v>3.55</v>
      </c>
      <c r="Z23" s="6">
        <f>温度条件他根拠!$C$62</f>
        <v>3.95</v>
      </c>
      <c r="AA23" s="7">
        <f t="shared" si="4"/>
        <v>0</v>
      </c>
      <c r="AB23" s="7">
        <f t="shared" si="4"/>
        <v>0</v>
      </c>
      <c r="AC23" s="13">
        <f t="shared" si="10"/>
        <v>0</v>
      </c>
      <c r="AD23" s="12">
        <f t="shared" si="11"/>
        <v>0</v>
      </c>
    </row>
    <row r="24" spans="2:30">
      <c r="B24" s="553">
        <v>5</v>
      </c>
      <c r="C24" s="3"/>
      <c r="D24" s="3"/>
      <c r="E24" s="838">
        <f t="shared" si="12"/>
        <v>0</v>
      </c>
      <c r="F24" s="839">
        <f>0.175*(温度条件他根拠!$D$7-温度条件他根拠!$D$9)/(温度条件他根拠!$D$7-23.2)</f>
        <v>7.3795180722891554E-2</v>
      </c>
      <c r="G24" s="839">
        <f>0.2*(温度条件他根拠!$D$10-13.4)/(温度条件他根拠!$D$10-温度条件他根拠!$D$8)</f>
        <v>6.1395348837209304E-2</v>
      </c>
      <c r="H24" s="836">
        <f>$C$27*E24*F24/1000</f>
        <v>0</v>
      </c>
      <c r="I24" s="836">
        <f>G24*E24*$D$20/1000</f>
        <v>0</v>
      </c>
      <c r="J24" s="6">
        <f>温度条件他根拠!$C$61</f>
        <v>3.55</v>
      </c>
      <c r="K24" s="6">
        <f>温度条件他根拠!$C$62</f>
        <v>3.95</v>
      </c>
      <c r="L24" s="7">
        <f t="shared" si="1"/>
        <v>0</v>
      </c>
      <c r="M24" s="7">
        <f t="shared" si="1"/>
        <v>0</v>
      </c>
      <c r="N24" s="13">
        <f t="shared" si="7"/>
        <v>0</v>
      </c>
      <c r="O24" s="12">
        <f t="shared" si="8"/>
        <v>0</v>
      </c>
      <c r="Q24" s="553">
        <v>5</v>
      </c>
      <c r="R24" s="3"/>
      <c r="S24" s="3"/>
      <c r="T24" s="838">
        <f t="shared" si="13"/>
        <v>0</v>
      </c>
      <c r="U24" s="1001">
        <f t="shared" si="9"/>
        <v>7.3795180722891554E-2</v>
      </c>
      <c r="V24" s="1001">
        <f t="shared" si="9"/>
        <v>6.1395348837209304E-2</v>
      </c>
      <c r="W24" s="836">
        <f t="shared" si="2"/>
        <v>0</v>
      </c>
      <c r="X24" s="836">
        <f t="shared" si="3"/>
        <v>0</v>
      </c>
      <c r="Y24" s="6">
        <f>温度条件他根拠!$C$61</f>
        <v>3.55</v>
      </c>
      <c r="Z24" s="6">
        <f>温度条件他根拠!$C$62</f>
        <v>3.95</v>
      </c>
      <c r="AA24" s="7">
        <f t="shared" si="4"/>
        <v>0</v>
      </c>
      <c r="AB24" s="7">
        <f t="shared" si="4"/>
        <v>0</v>
      </c>
      <c r="AC24" s="13">
        <f t="shared" si="10"/>
        <v>0</v>
      </c>
      <c r="AD24" s="12">
        <f t="shared" si="11"/>
        <v>0</v>
      </c>
    </row>
    <row r="25" spans="2:30">
      <c r="B25" s="553">
        <v>6</v>
      </c>
      <c r="C25" s="3"/>
      <c r="D25" s="3"/>
      <c r="E25" s="838">
        <f t="shared" si="12"/>
        <v>0</v>
      </c>
      <c r="F25" s="839">
        <f>0.7*(温度条件他根拠!$D$7-温度条件他根拠!$D$9)/(温度条件他根拠!$D$7-26)</f>
        <v>0.44545454545454538</v>
      </c>
      <c r="G25" s="2">
        <v>0</v>
      </c>
      <c r="H25" s="7">
        <f t="shared" si="5"/>
        <v>0</v>
      </c>
      <c r="I25" s="7">
        <f t="shared" si="6"/>
        <v>0</v>
      </c>
      <c r="J25" s="6">
        <f>温度条件他根拠!$C$61</f>
        <v>3.55</v>
      </c>
      <c r="K25" s="6">
        <f>温度条件他根拠!$C$62</f>
        <v>3.95</v>
      </c>
      <c r="L25" s="7">
        <f t="shared" si="1"/>
        <v>0</v>
      </c>
      <c r="M25" s="7">
        <f t="shared" si="1"/>
        <v>0</v>
      </c>
      <c r="N25" s="13">
        <f t="shared" si="7"/>
        <v>0</v>
      </c>
      <c r="O25" s="12">
        <f t="shared" si="8"/>
        <v>0</v>
      </c>
      <c r="Q25" s="553">
        <v>6</v>
      </c>
      <c r="R25" s="3"/>
      <c r="S25" s="3"/>
      <c r="T25" s="838">
        <f t="shared" si="13"/>
        <v>0</v>
      </c>
      <c r="U25" s="1001">
        <f t="shared" si="9"/>
        <v>0.44545454545454538</v>
      </c>
      <c r="V25" s="838">
        <f t="shared" si="9"/>
        <v>0</v>
      </c>
      <c r="W25" s="7">
        <f t="shared" si="2"/>
        <v>0</v>
      </c>
      <c r="X25" s="7">
        <f t="shared" si="3"/>
        <v>0</v>
      </c>
      <c r="Y25" s="6">
        <f>温度条件他根拠!$C$61</f>
        <v>3.55</v>
      </c>
      <c r="Z25" s="6">
        <f>温度条件他根拠!$C$62</f>
        <v>3.95</v>
      </c>
      <c r="AA25" s="7">
        <f t="shared" si="4"/>
        <v>0</v>
      </c>
      <c r="AB25" s="7">
        <f t="shared" si="4"/>
        <v>0</v>
      </c>
      <c r="AC25" s="13">
        <f t="shared" si="10"/>
        <v>0</v>
      </c>
      <c r="AD25" s="12">
        <f t="shared" si="11"/>
        <v>0</v>
      </c>
    </row>
    <row r="26" spans="2:30">
      <c r="B26" s="553">
        <v>7</v>
      </c>
      <c r="C26" s="3"/>
      <c r="D26" s="3"/>
      <c r="E26" s="838">
        <f t="shared" si="12"/>
        <v>0</v>
      </c>
      <c r="F26" s="839">
        <f>0.7*(温度条件他根拠!$D$7-温度条件他根拠!$D$9)/(温度条件他根拠!$D$7-28)</f>
        <v>0.7</v>
      </c>
      <c r="G26" s="2">
        <v>0</v>
      </c>
      <c r="H26" s="7">
        <f t="shared" si="5"/>
        <v>0</v>
      </c>
      <c r="I26" s="7">
        <f t="shared" si="6"/>
        <v>0</v>
      </c>
      <c r="J26" s="6">
        <f>温度条件他根拠!$C$61</f>
        <v>3.55</v>
      </c>
      <c r="K26" s="6">
        <f>温度条件他根拠!$C$62</f>
        <v>3.95</v>
      </c>
      <c r="L26" s="7">
        <f t="shared" si="1"/>
        <v>0</v>
      </c>
      <c r="M26" s="7">
        <f t="shared" si="1"/>
        <v>0</v>
      </c>
      <c r="N26" s="13">
        <f t="shared" si="7"/>
        <v>0</v>
      </c>
      <c r="O26" s="12">
        <f t="shared" si="8"/>
        <v>0</v>
      </c>
      <c r="Q26" s="553">
        <v>7</v>
      </c>
      <c r="R26" s="3"/>
      <c r="S26" s="3"/>
      <c r="T26" s="838">
        <f t="shared" si="13"/>
        <v>0</v>
      </c>
      <c r="U26" s="1001">
        <f t="shared" si="9"/>
        <v>0.7</v>
      </c>
      <c r="V26" s="838">
        <f t="shared" si="9"/>
        <v>0</v>
      </c>
      <c r="W26" s="7">
        <f t="shared" si="2"/>
        <v>0</v>
      </c>
      <c r="X26" s="7">
        <f t="shared" si="3"/>
        <v>0</v>
      </c>
      <c r="Y26" s="6">
        <f>温度条件他根拠!$C$61</f>
        <v>3.55</v>
      </c>
      <c r="Z26" s="6">
        <f>温度条件他根拠!$C$62</f>
        <v>3.95</v>
      </c>
      <c r="AA26" s="7">
        <f t="shared" si="4"/>
        <v>0</v>
      </c>
      <c r="AB26" s="7">
        <f t="shared" si="4"/>
        <v>0</v>
      </c>
      <c r="AC26" s="13">
        <f t="shared" si="10"/>
        <v>0</v>
      </c>
      <c r="AD26" s="12">
        <f t="shared" si="11"/>
        <v>0</v>
      </c>
    </row>
    <row r="27" spans="2:30">
      <c r="B27" s="553">
        <v>8</v>
      </c>
      <c r="C27" s="836">
        <f>D13</f>
        <v>0</v>
      </c>
      <c r="D27" s="3"/>
      <c r="E27" s="838">
        <f t="shared" si="12"/>
        <v>0</v>
      </c>
      <c r="F27" s="839">
        <f>0.7*(温度条件他根拠!$D$7-温度条件他根拠!$D$9)/(温度条件他根拠!$D$7-28)</f>
        <v>0.7</v>
      </c>
      <c r="G27" s="2">
        <v>0</v>
      </c>
      <c r="H27" s="7">
        <f>$C$27*E27*F27/1000</f>
        <v>0</v>
      </c>
      <c r="I27" s="7">
        <f t="shared" si="6"/>
        <v>0</v>
      </c>
      <c r="J27" s="6">
        <f>温度条件他根拠!$C$61</f>
        <v>3.55</v>
      </c>
      <c r="K27" s="6">
        <f>温度条件他根拠!$C$62</f>
        <v>3.95</v>
      </c>
      <c r="L27" s="7">
        <f t="shared" si="1"/>
        <v>0</v>
      </c>
      <c r="M27" s="7">
        <f t="shared" si="1"/>
        <v>0</v>
      </c>
      <c r="N27" s="13">
        <f t="shared" si="7"/>
        <v>0</v>
      </c>
      <c r="O27" s="12">
        <f t="shared" si="8"/>
        <v>0</v>
      </c>
      <c r="Q27" s="553">
        <v>8</v>
      </c>
      <c r="R27" s="836">
        <f>E8*D12</f>
        <v>0</v>
      </c>
      <c r="S27" s="3"/>
      <c r="T27" s="838">
        <f t="shared" si="13"/>
        <v>0</v>
      </c>
      <c r="U27" s="1001">
        <f t="shared" si="9"/>
        <v>0.7</v>
      </c>
      <c r="V27" s="838">
        <f t="shared" si="9"/>
        <v>0</v>
      </c>
      <c r="W27" s="7">
        <f t="shared" si="2"/>
        <v>0</v>
      </c>
      <c r="X27" s="7">
        <f t="shared" si="3"/>
        <v>0</v>
      </c>
      <c r="Y27" s="6">
        <f>温度条件他根拠!$C$61</f>
        <v>3.55</v>
      </c>
      <c r="Z27" s="6">
        <f>温度条件他根拠!$C$62</f>
        <v>3.95</v>
      </c>
      <c r="AA27" s="7">
        <f t="shared" si="4"/>
        <v>0</v>
      </c>
      <c r="AB27" s="7">
        <f t="shared" si="4"/>
        <v>0</v>
      </c>
      <c r="AC27" s="13">
        <f t="shared" si="10"/>
        <v>0</v>
      </c>
      <c r="AD27" s="12">
        <f t="shared" si="11"/>
        <v>0</v>
      </c>
    </row>
    <row r="28" spans="2:30">
      <c r="B28" s="553">
        <v>9</v>
      </c>
      <c r="C28" s="3"/>
      <c r="D28" s="3"/>
      <c r="E28" s="838">
        <f t="shared" si="12"/>
        <v>0</v>
      </c>
      <c r="F28" s="839">
        <f>0.7*(温度条件他根拠!$D$7-温度条件他根拠!$D$9)/(温度条件他根拠!$D$7-27.1)</f>
        <v>0.55681818181818199</v>
      </c>
      <c r="G28" s="2">
        <v>0</v>
      </c>
      <c r="H28" s="7">
        <f t="shared" si="5"/>
        <v>0</v>
      </c>
      <c r="I28" s="7">
        <f t="shared" si="6"/>
        <v>0</v>
      </c>
      <c r="J28" s="6">
        <f>温度条件他根拠!$C$61</f>
        <v>3.55</v>
      </c>
      <c r="K28" s="6">
        <f>温度条件他根拠!$C$62</f>
        <v>3.95</v>
      </c>
      <c r="L28" s="7">
        <f t="shared" si="1"/>
        <v>0</v>
      </c>
      <c r="M28" s="7">
        <f t="shared" si="1"/>
        <v>0</v>
      </c>
      <c r="N28" s="13">
        <f t="shared" si="7"/>
        <v>0</v>
      </c>
      <c r="O28" s="12">
        <f t="shared" si="8"/>
        <v>0</v>
      </c>
      <c r="Q28" s="553">
        <v>9</v>
      </c>
      <c r="R28" s="3"/>
      <c r="S28" s="3"/>
      <c r="T28" s="838">
        <f t="shared" si="13"/>
        <v>0</v>
      </c>
      <c r="U28" s="1001">
        <f t="shared" si="9"/>
        <v>0.55681818181818199</v>
      </c>
      <c r="V28" s="838">
        <f t="shared" si="9"/>
        <v>0</v>
      </c>
      <c r="W28" s="7">
        <f t="shared" si="2"/>
        <v>0</v>
      </c>
      <c r="X28" s="7">
        <f t="shared" si="3"/>
        <v>0</v>
      </c>
      <c r="Y28" s="6">
        <f>温度条件他根拠!$C$61</f>
        <v>3.55</v>
      </c>
      <c r="Z28" s="6">
        <f>温度条件他根拠!$C$62</f>
        <v>3.95</v>
      </c>
      <c r="AA28" s="7">
        <f t="shared" si="4"/>
        <v>0</v>
      </c>
      <c r="AB28" s="7">
        <f t="shared" si="4"/>
        <v>0</v>
      </c>
      <c r="AC28" s="13">
        <f t="shared" si="10"/>
        <v>0</v>
      </c>
      <c r="AD28" s="12">
        <f t="shared" si="11"/>
        <v>0</v>
      </c>
    </row>
    <row r="29" spans="2:30">
      <c r="B29" s="553">
        <v>10</v>
      </c>
      <c r="C29" s="3"/>
      <c r="D29" s="3"/>
      <c r="E29" s="838">
        <f t="shared" si="12"/>
        <v>0</v>
      </c>
      <c r="F29" s="839">
        <f>0.175*(温度条件他根拠!$D$7-温度条件他根拠!$D$9)/(温度条件他根拠!$D$7-21.6)</f>
        <v>6.1868686868686872E-2</v>
      </c>
      <c r="G29" s="839">
        <f>0.2*(温度条件他根拠!$D$10-12.8)/(温度条件他根拠!$D$10-温度条件他根拠!$D$8)</f>
        <v>6.6976744186046502E-2</v>
      </c>
      <c r="H29" s="836">
        <f>$C$27*E29*F29/1000</f>
        <v>0</v>
      </c>
      <c r="I29" s="836">
        <f>G29*E29*$D$20/1000</f>
        <v>0</v>
      </c>
      <c r="J29" s="6">
        <f>温度条件他根拠!$C$61</f>
        <v>3.55</v>
      </c>
      <c r="K29" s="6">
        <f>温度条件他根拠!$C$62</f>
        <v>3.95</v>
      </c>
      <c r="L29" s="7">
        <f t="shared" si="1"/>
        <v>0</v>
      </c>
      <c r="M29" s="7">
        <f t="shared" si="1"/>
        <v>0</v>
      </c>
      <c r="N29" s="13">
        <f t="shared" si="7"/>
        <v>0</v>
      </c>
      <c r="O29" s="12">
        <f t="shared" si="8"/>
        <v>0</v>
      </c>
      <c r="Q29" s="553">
        <v>10</v>
      </c>
      <c r="R29" s="3"/>
      <c r="S29" s="3"/>
      <c r="T29" s="838">
        <f t="shared" si="13"/>
        <v>0</v>
      </c>
      <c r="U29" s="1001">
        <f t="shared" si="9"/>
        <v>6.1868686868686872E-2</v>
      </c>
      <c r="V29" s="1001">
        <f t="shared" si="9"/>
        <v>6.6976744186046502E-2</v>
      </c>
      <c r="W29" s="836">
        <f t="shared" si="2"/>
        <v>0</v>
      </c>
      <c r="X29" s="836">
        <f t="shared" si="3"/>
        <v>0</v>
      </c>
      <c r="Y29" s="6">
        <f>温度条件他根拠!$C$61</f>
        <v>3.55</v>
      </c>
      <c r="Z29" s="6">
        <f>温度条件他根拠!$C$62</f>
        <v>3.95</v>
      </c>
      <c r="AA29" s="7">
        <f t="shared" si="4"/>
        <v>0</v>
      </c>
      <c r="AB29" s="7">
        <f t="shared" si="4"/>
        <v>0</v>
      </c>
      <c r="AC29" s="13">
        <f t="shared" si="10"/>
        <v>0</v>
      </c>
      <c r="AD29" s="12">
        <f t="shared" si="11"/>
        <v>0</v>
      </c>
    </row>
    <row r="30" spans="2:30">
      <c r="B30" s="553">
        <v>11</v>
      </c>
      <c r="C30" s="3"/>
      <c r="D30" s="3"/>
      <c r="E30" s="838">
        <f t="shared" si="12"/>
        <v>0</v>
      </c>
      <c r="F30" s="2">
        <v>0</v>
      </c>
      <c r="G30" s="839">
        <f>0.8*(温度条件他根拠!$D$10-6.2)/(温度条件他根拠!$D$10-温度条件他根拠!$D$8)</f>
        <v>0.51348837209302334</v>
      </c>
      <c r="H30" s="7">
        <f t="shared" si="5"/>
        <v>0</v>
      </c>
      <c r="I30" s="7">
        <f t="shared" si="6"/>
        <v>0</v>
      </c>
      <c r="J30" s="6">
        <f>温度条件他根拠!$C$61</f>
        <v>3.55</v>
      </c>
      <c r="K30" s="6">
        <f>温度条件他根拠!$C$62</f>
        <v>3.95</v>
      </c>
      <c r="L30" s="7">
        <f t="shared" si="1"/>
        <v>0</v>
      </c>
      <c r="M30" s="7">
        <f t="shared" si="1"/>
        <v>0</v>
      </c>
      <c r="N30" s="13">
        <f t="shared" si="7"/>
        <v>0</v>
      </c>
      <c r="O30" s="12">
        <f t="shared" si="8"/>
        <v>0</v>
      </c>
      <c r="Q30" s="553">
        <v>11</v>
      </c>
      <c r="R30" s="3"/>
      <c r="S30" s="3"/>
      <c r="T30" s="838">
        <f t="shared" si="13"/>
        <v>0</v>
      </c>
      <c r="U30" s="838">
        <f t="shared" si="9"/>
        <v>0</v>
      </c>
      <c r="V30" s="1001">
        <f t="shared" si="9"/>
        <v>0.51348837209302334</v>
      </c>
      <c r="W30" s="7">
        <f t="shared" si="2"/>
        <v>0</v>
      </c>
      <c r="X30" s="7">
        <f t="shared" si="3"/>
        <v>0</v>
      </c>
      <c r="Y30" s="6">
        <f>温度条件他根拠!$C$61</f>
        <v>3.55</v>
      </c>
      <c r="Z30" s="6">
        <f>温度条件他根拠!$C$62</f>
        <v>3.95</v>
      </c>
      <c r="AA30" s="7">
        <f t="shared" si="4"/>
        <v>0</v>
      </c>
      <c r="AB30" s="7">
        <f t="shared" si="4"/>
        <v>0</v>
      </c>
      <c r="AC30" s="13">
        <f t="shared" si="10"/>
        <v>0</v>
      </c>
      <c r="AD30" s="12">
        <f t="shared" si="11"/>
        <v>0</v>
      </c>
    </row>
    <row r="31" spans="2:30">
      <c r="B31" s="553">
        <v>12</v>
      </c>
      <c r="C31" s="3"/>
      <c r="D31" s="3"/>
      <c r="E31" s="838">
        <f t="shared" si="12"/>
        <v>0</v>
      </c>
      <c r="F31" s="2">
        <v>0</v>
      </c>
      <c r="G31" s="839">
        <f>0.8*(温度条件他根拠!$D$10-0.8)/(温度条件他根拠!$D$10-温度条件他根拠!$D$8)</f>
        <v>0.7144186046511628</v>
      </c>
      <c r="H31" s="7">
        <f t="shared" si="5"/>
        <v>0</v>
      </c>
      <c r="I31" s="7">
        <f t="shared" si="6"/>
        <v>0</v>
      </c>
      <c r="J31" s="6">
        <f>温度条件他根拠!$C$61</f>
        <v>3.55</v>
      </c>
      <c r="K31" s="6">
        <f>温度条件他根拠!$C$62</f>
        <v>3.95</v>
      </c>
      <c r="L31" s="7">
        <f t="shared" si="1"/>
        <v>0</v>
      </c>
      <c r="M31" s="7">
        <f t="shared" si="1"/>
        <v>0</v>
      </c>
      <c r="N31" s="13">
        <f t="shared" si="7"/>
        <v>0</v>
      </c>
      <c r="O31" s="12">
        <f t="shared" si="8"/>
        <v>0</v>
      </c>
      <c r="Q31" s="553">
        <v>12</v>
      </c>
      <c r="R31" s="3"/>
      <c r="S31" s="3"/>
      <c r="T31" s="838">
        <f t="shared" si="13"/>
        <v>0</v>
      </c>
      <c r="U31" s="838">
        <f t="shared" si="9"/>
        <v>0</v>
      </c>
      <c r="V31" s="1001">
        <f t="shared" si="9"/>
        <v>0.7144186046511628</v>
      </c>
      <c r="W31" s="7">
        <f t="shared" si="2"/>
        <v>0</v>
      </c>
      <c r="X31" s="7">
        <f t="shared" si="3"/>
        <v>0</v>
      </c>
      <c r="Y31" s="6">
        <f>温度条件他根拠!$C$61</f>
        <v>3.55</v>
      </c>
      <c r="Z31" s="6">
        <f>温度条件他根拠!$C$62</f>
        <v>3.95</v>
      </c>
      <c r="AA31" s="7">
        <f t="shared" si="4"/>
        <v>0</v>
      </c>
      <c r="AB31" s="7">
        <f t="shared" si="4"/>
        <v>0</v>
      </c>
      <c r="AC31" s="13">
        <f t="shared" si="10"/>
        <v>0</v>
      </c>
      <c r="AD31" s="12">
        <f t="shared" si="11"/>
        <v>0</v>
      </c>
    </row>
    <row r="32" spans="2:30">
      <c r="B32" s="2" t="s">
        <v>1</v>
      </c>
      <c r="C32" s="3"/>
      <c r="D32" s="3"/>
      <c r="E32" s="836">
        <f>SUM(E20:E31)</f>
        <v>0</v>
      </c>
      <c r="F32" s="3"/>
      <c r="G32" s="3"/>
      <c r="H32" s="7">
        <f>SUM(H20:H31)</f>
        <v>0</v>
      </c>
      <c r="I32" s="7">
        <f>SUM(I20:I31)</f>
        <v>0</v>
      </c>
      <c r="J32" s="3"/>
      <c r="K32" s="3"/>
      <c r="L32" s="7">
        <f>SUM(L20:L31)</f>
        <v>0</v>
      </c>
      <c r="M32" s="7">
        <f>SUM(M20:M31)</f>
        <v>0</v>
      </c>
      <c r="N32" s="13">
        <f>SUM(N20:N31)</f>
        <v>0</v>
      </c>
      <c r="O32" s="17">
        <f>SUM(O20:O31)</f>
        <v>0</v>
      </c>
      <c r="Q32" s="2" t="s">
        <v>1</v>
      </c>
      <c r="R32" s="3"/>
      <c r="S32" s="3"/>
      <c r="T32" s="836">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I34" s="1">
        <f>入力!D48</f>
        <v>0</v>
      </c>
      <c r="J34" s="1" t="s">
        <v>1132</v>
      </c>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I35" s="251" t="e">
        <f>E35*1000/I34</f>
        <v>#DIV/0!</v>
      </c>
      <c r="J35" s="1" t="s">
        <v>1131</v>
      </c>
      <c r="Q35" s="8" t="s">
        <v>573</v>
      </c>
      <c r="R35" s="9"/>
      <c r="S35" s="9"/>
      <c r="T35" s="16">
        <f>T34*0.495/1000</f>
        <v>0</v>
      </c>
      <c r="U35" s="9" t="s">
        <v>7</v>
      </c>
      <c r="V35" s="8" t="s">
        <v>33</v>
      </c>
      <c r="W35" s="11"/>
      <c r="Y35" s="8" t="s">
        <v>575</v>
      </c>
      <c r="Z35" s="9"/>
      <c r="AA35" s="9"/>
      <c r="AB35" s="290">
        <f>T35-E35</f>
        <v>0</v>
      </c>
      <c r="AC35" s="11" t="s">
        <v>7</v>
      </c>
    </row>
    <row r="57" spans="2:3">
      <c r="B57" s="1" t="s">
        <v>1079</v>
      </c>
    </row>
    <row r="58" spans="2:3">
      <c r="B58" s="691">
        <v>43927</v>
      </c>
      <c r="C58" s="690" t="s">
        <v>866</v>
      </c>
    </row>
    <row r="59" spans="2:3">
      <c r="B59" s="691">
        <v>44634</v>
      </c>
      <c r="C59" s="690" t="s">
        <v>1119</v>
      </c>
    </row>
    <row r="60" spans="2:3">
      <c r="C60" s="690" t="s">
        <v>1120</v>
      </c>
    </row>
    <row r="61" spans="2:3">
      <c r="C61" s="1" t="s">
        <v>1121</v>
      </c>
    </row>
    <row r="62" spans="2:3">
      <c r="C62" s="1" t="s">
        <v>1133</v>
      </c>
    </row>
    <row r="63" spans="2:3">
      <c r="C63" s="1" t="s">
        <v>1134</v>
      </c>
    </row>
  </sheetData>
  <mergeCells count="12">
    <mergeCell ref="B16:O16"/>
    <mergeCell ref="B5:C6"/>
    <mergeCell ref="D5:F5"/>
    <mergeCell ref="G5:G6"/>
    <mergeCell ref="H5:N6"/>
    <mergeCell ref="H7:N10"/>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sheetPr>
  <dimension ref="A1:BH78"/>
  <sheetViews>
    <sheetView showZeros="0" tabSelected="1" view="pageBreakPreview" zoomScaleNormal="100" zoomScaleSheetLayoutView="100" workbookViewId="0">
      <selection activeCell="J7" sqref="J7:AH7"/>
    </sheetView>
  </sheetViews>
  <sheetFormatPr defaultRowHeight="13"/>
  <cols>
    <col min="1" max="36" width="2.6328125" style="592" customWidth="1"/>
    <col min="37" max="42" width="9" style="592"/>
    <col min="43" max="43" width="36.08984375" style="592" bestFit="1" customWidth="1"/>
    <col min="44" max="255" width="9" style="592"/>
    <col min="256" max="292" width="2.6328125" style="592" customWidth="1"/>
    <col min="293" max="511" width="9" style="592"/>
    <col min="512" max="548" width="2.6328125" style="592" customWidth="1"/>
    <col min="549" max="767" width="9" style="592"/>
    <col min="768" max="804" width="2.6328125" style="592" customWidth="1"/>
    <col min="805" max="1023" width="9" style="592"/>
    <col min="1024" max="1060" width="2.6328125" style="592" customWidth="1"/>
    <col min="1061" max="1279" width="9" style="592"/>
    <col min="1280" max="1316" width="2.6328125" style="592" customWidth="1"/>
    <col min="1317" max="1535" width="9" style="592"/>
    <col min="1536" max="1572" width="2.6328125" style="592" customWidth="1"/>
    <col min="1573" max="1791" width="9" style="592"/>
    <col min="1792" max="1828" width="2.6328125" style="592" customWidth="1"/>
    <col min="1829" max="2047" width="9" style="592"/>
    <col min="2048" max="2084" width="2.6328125" style="592" customWidth="1"/>
    <col min="2085" max="2303" width="9" style="592"/>
    <col min="2304" max="2340" width="2.6328125" style="592" customWidth="1"/>
    <col min="2341" max="2559" width="9" style="592"/>
    <col min="2560" max="2596" width="2.6328125" style="592" customWidth="1"/>
    <col min="2597" max="2815" width="9" style="592"/>
    <col min="2816" max="2852" width="2.6328125" style="592" customWidth="1"/>
    <col min="2853" max="3071" width="9" style="592"/>
    <col min="3072" max="3108" width="2.6328125" style="592" customWidth="1"/>
    <col min="3109" max="3327" width="9" style="592"/>
    <col min="3328" max="3364" width="2.6328125" style="592" customWidth="1"/>
    <col min="3365" max="3583" width="9" style="592"/>
    <col min="3584" max="3620" width="2.6328125" style="592" customWidth="1"/>
    <col min="3621" max="3839" width="9" style="592"/>
    <col min="3840" max="3876" width="2.6328125" style="592" customWidth="1"/>
    <col min="3877" max="4095" width="9" style="592"/>
    <col min="4096" max="4132" width="2.6328125" style="592" customWidth="1"/>
    <col min="4133" max="4351" width="9" style="592"/>
    <col min="4352" max="4388" width="2.6328125" style="592" customWidth="1"/>
    <col min="4389" max="4607" width="9" style="592"/>
    <col min="4608" max="4644" width="2.6328125" style="592" customWidth="1"/>
    <col min="4645" max="4863" width="9" style="592"/>
    <col min="4864" max="4900" width="2.6328125" style="592" customWidth="1"/>
    <col min="4901" max="5119" width="9" style="592"/>
    <col min="5120" max="5156" width="2.6328125" style="592" customWidth="1"/>
    <col min="5157" max="5375" width="9" style="592"/>
    <col min="5376" max="5412" width="2.6328125" style="592" customWidth="1"/>
    <col min="5413" max="5631" width="9" style="592"/>
    <col min="5632" max="5668" width="2.6328125" style="592" customWidth="1"/>
    <col min="5669" max="5887" width="9" style="592"/>
    <col min="5888" max="5924" width="2.6328125" style="592" customWidth="1"/>
    <col min="5925" max="6143" width="9" style="592"/>
    <col min="6144" max="6180" width="2.6328125" style="592" customWidth="1"/>
    <col min="6181" max="6399" width="9" style="592"/>
    <col min="6400" max="6436" width="2.6328125" style="592" customWidth="1"/>
    <col min="6437" max="6655" width="9" style="592"/>
    <col min="6656" max="6692" width="2.6328125" style="592" customWidth="1"/>
    <col min="6693" max="6911" width="9" style="592"/>
    <col min="6912" max="6948" width="2.6328125" style="592" customWidth="1"/>
    <col min="6949" max="7167" width="9" style="592"/>
    <col min="7168" max="7204" width="2.6328125" style="592" customWidth="1"/>
    <col min="7205" max="7423" width="9" style="592"/>
    <col min="7424" max="7460" width="2.6328125" style="592" customWidth="1"/>
    <col min="7461" max="7679" width="9" style="592"/>
    <col min="7680" max="7716" width="2.6328125" style="592" customWidth="1"/>
    <col min="7717" max="7935" width="9" style="592"/>
    <col min="7936" max="7972" width="2.6328125" style="592" customWidth="1"/>
    <col min="7973" max="8191" width="9" style="592"/>
    <col min="8192" max="8228" width="2.6328125" style="592" customWidth="1"/>
    <col min="8229" max="8447" width="9" style="592"/>
    <col min="8448" max="8484" width="2.6328125" style="592" customWidth="1"/>
    <col min="8485" max="8703" width="9" style="592"/>
    <col min="8704" max="8740" width="2.6328125" style="592" customWidth="1"/>
    <col min="8741" max="8959" width="9" style="592"/>
    <col min="8960" max="8996" width="2.6328125" style="592" customWidth="1"/>
    <col min="8997" max="9215" width="9" style="592"/>
    <col min="9216" max="9252" width="2.6328125" style="592" customWidth="1"/>
    <col min="9253" max="9471" width="9" style="592"/>
    <col min="9472" max="9508" width="2.6328125" style="592" customWidth="1"/>
    <col min="9509" max="9727" width="9" style="592"/>
    <col min="9728" max="9764" width="2.6328125" style="592" customWidth="1"/>
    <col min="9765" max="9983" width="9" style="592"/>
    <col min="9984" max="10020" width="2.6328125" style="592" customWidth="1"/>
    <col min="10021" max="10239" width="9" style="592"/>
    <col min="10240" max="10276" width="2.6328125" style="592" customWidth="1"/>
    <col min="10277" max="10495" width="9" style="592"/>
    <col min="10496" max="10532" width="2.6328125" style="592" customWidth="1"/>
    <col min="10533" max="10751" width="9" style="592"/>
    <col min="10752" max="10788" width="2.6328125" style="592" customWidth="1"/>
    <col min="10789" max="11007" width="9" style="592"/>
    <col min="11008" max="11044" width="2.6328125" style="592" customWidth="1"/>
    <col min="11045" max="11263" width="9" style="592"/>
    <col min="11264" max="11300" width="2.6328125" style="592" customWidth="1"/>
    <col min="11301" max="11519" width="9" style="592"/>
    <col min="11520" max="11556" width="2.6328125" style="592" customWidth="1"/>
    <col min="11557" max="11775" width="9" style="592"/>
    <col min="11776" max="11812" width="2.6328125" style="592" customWidth="1"/>
    <col min="11813" max="12031" width="9" style="592"/>
    <col min="12032" max="12068" width="2.6328125" style="592" customWidth="1"/>
    <col min="12069" max="12287" width="9" style="592"/>
    <col min="12288" max="12324" width="2.6328125" style="592" customWidth="1"/>
    <col min="12325" max="12543" width="9" style="592"/>
    <col min="12544" max="12580" width="2.6328125" style="592" customWidth="1"/>
    <col min="12581" max="12799" width="9" style="592"/>
    <col min="12800" max="12836" width="2.6328125" style="592" customWidth="1"/>
    <col min="12837" max="13055" width="9" style="592"/>
    <col min="13056" max="13092" width="2.6328125" style="592" customWidth="1"/>
    <col min="13093" max="13311" width="9" style="592"/>
    <col min="13312" max="13348" width="2.6328125" style="592" customWidth="1"/>
    <col min="13349" max="13567" width="9" style="592"/>
    <col min="13568" max="13604" width="2.6328125" style="592" customWidth="1"/>
    <col min="13605" max="13823" width="9" style="592"/>
    <col min="13824" max="13860" width="2.6328125" style="592" customWidth="1"/>
    <col min="13861" max="14079" width="9" style="592"/>
    <col min="14080" max="14116" width="2.6328125" style="592" customWidth="1"/>
    <col min="14117" max="14335" width="9" style="592"/>
    <col min="14336" max="14372" width="2.6328125" style="592" customWidth="1"/>
    <col min="14373" max="14591" width="9" style="592"/>
    <col min="14592" max="14628" width="2.6328125" style="592" customWidth="1"/>
    <col min="14629" max="14847" width="9" style="592"/>
    <col min="14848" max="14884" width="2.6328125" style="592" customWidth="1"/>
    <col min="14885" max="15103" width="9" style="592"/>
    <col min="15104" max="15140" width="2.6328125" style="592" customWidth="1"/>
    <col min="15141" max="15359" width="9" style="592"/>
    <col min="15360" max="15396" width="2.6328125" style="592" customWidth="1"/>
    <col min="15397" max="15615" width="9" style="592"/>
    <col min="15616" max="15652" width="2.6328125" style="592" customWidth="1"/>
    <col min="15653" max="15871" width="9" style="592"/>
    <col min="15872" max="15908" width="2.6328125" style="592" customWidth="1"/>
    <col min="15909" max="16127" width="9" style="592"/>
    <col min="16128" max="16164" width="2.6328125" style="592" customWidth="1"/>
    <col min="16165" max="16384" width="9" style="592"/>
  </cols>
  <sheetData>
    <row r="1" spans="1:60" s="589" customFormat="1" ht="36" customHeight="1">
      <c r="A1" s="1168" t="s">
        <v>885</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1169"/>
      <c r="AF1" s="1169"/>
      <c r="AG1" s="1169"/>
      <c r="AH1" s="1169"/>
    </row>
    <row r="2" spans="1:60" s="591" customFormat="1" hidden="1">
      <c r="A2" s="590">
        <v>1</v>
      </c>
      <c r="B2" s="590">
        <v>2</v>
      </c>
      <c r="C2" s="590">
        <v>3</v>
      </c>
      <c r="D2" s="590">
        <v>4</v>
      </c>
      <c r="E2" s="590">
        <v>5</v>
      </c>
      <c r="F2" s="590">
        <v>6</v>
      </c>
      <c r="G2" s="590">
        <v>7</v>
      </c>
      <c r="H2" s="590">
        <v>8</v>
      </c>
      <c r="I2" s="590">
        <v>9</v>
      </c>
      <c r="J2" s="590">
        <v>10</v>
      </c>
      <c r="K2" s="590">
        <v>11</v>
      </c>
      <c r="L2" s="590">
        <v>12</v>
      </c>
      <c r="M2" s="590">
        <v>13</v>
      </c>
      <c r="N2" s="590">
        <v>14</v>
      </c>
      <c r="O2" s="590">
        <v>15</v>
      </c>
      <c r="P2" s="590">
        <v>16</v>
      </c>
      <c r="Q2" s="590">
        <v>17</v>
      </c>
      <c r="R2" s="590">
        <v>18</v>
      </c>
      <c r="S2" s="590">
        <v>19</v>
      </c>
      <c r="T2" s="590">
        <v>20</v>
      </c>
      <c r="U2" s="590">
        <v>21</v>
      </c>
      <c r="V2" s="590">
        <v>22</v>
      </c>
      <c r="W2" s="590">
        <v>23</v>
      </c>
      <c r="X2" s="590">
        <v>24</v>
      </c>
      <c r="Y2" s="590">
        <v>25</v>
      </c>
      <c r="Z2" s="590">
        <v>26</v>
      </c>
      <c r="AA2" s="590">
        <v>27</v>
      </c>
      <c r="AB2" s="590">
        <v>28</v>
      </c>
      <c r="AC2" s="590">
        <v>29</v>
      </c>
      <c r="AD2" s="590">
        <v>30</v>
      </c>
      <c r="AE2" s="590">
        <v>31</v>
      </c>
      <c r="AF2" s="590">
        <v>32</v>
      </c>
      <c r="AG2" s="590">
        <v>33</v>
      </c>
      <c r="AH2" s="590">
        <v>34</v>
      </c>
    </row>
    <row r="3" spans="1:60" s="591" customFormat="1">
      <c r="A3" s="747"/>
      <c r="B3" s="747"/>
      <c r="C3" s="747"/>
      <c r="D3" s="747"/>
      <c r="E3" s="747"/>
      <c r="F3" s="747"/>
      <c r="G3" s="747"/>
      <c r="H3" s="747"/>
      <c r="I3" s="747"/>
      <c r="J3" s="747"/>
      <c r="K3" s="747"/>
      <c r="L3" s="747"/>
      <c r="M3" s="747"/>
      <c r="N3" s="747"/>
      <c r="O3" s="747"/>
      <c r="P3" s="747"/>
      <c r="Q3" s="747"/>
      <c r="R3" s="747"/>
      <c r="S3" s="747"/>
      <c r="T3" s="747"/>
      <c r="U3" s="747"/>
      <c r="V3" s="747"/>
      <c r="W3" s="747"/>
      <c r="X3" s="747"/>
      <c r="Y3" s="747"/>
      <c r="Z3" s="747"/>
      <c r="AA3" s="747"/>
      <c r="AB3" s="747"/>
      <c r="AC3" s="747"/>
      <c r="AD3" s="747"/>
      <c r="AE3" s="747"/>
      <c r="AF3" s="747"/>
      <c r="AG3" s="747"/>
      <c r="AH3" s="747"/>
    </row>
    <row r="4" spans="1:60" s="591" customFormat="1" ht="14">
      <c r="A4" s="1193" t="s">
        <v>1006</v>
      </c>
      <c r="B4" s="1193"/>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row>
    <row r="5" spans="1:60" ht="23.15" customHeight="1">
      <c r="A5" s="1183" t="s">
        <v>541</v>
      </c>
      <c r="B5" s="1184"/>
      <c r="C5" s="1184"/>
      <c r="D5" s="1185"/>
      <c r="E5" s="1170" t="s">
        <v>805</v>
      </c>
      <c r="F5" s="1171"/>
      <c r="G5" s="1171"/>
      <c r="H5" s="1171"/>
      <c r="I5" s="1172"/>
      <c r="J5" s="1173"/>
      <c r="K5" s="1174"/>
      <c r="L5" s="1174"/>
      <c r="M5" s="1174"/>
      <c r="N5" s="1174"/>
      <c r="O5" s="1174"/>
      <c r="P5" s="1174"/>
      <c r="Q5" s="1174"/>
      <c r="R5" s="1174"/>
      <c r="S5" s="1174"/>
      <c r="T5" s="1174"/>
      <c r="U5" s="1174"/>
      <c r="V5" s="1174"/>
      <c r="W5" s="1174"/>
      <c r="X5" s="1174"/>
      <c r="Y5" s="1174"/>
      <c r="Z5" s="1174"/>
      <c r="AA5" s="1174"/>
      <c r="AB5" s="1174"/>
      <c r="AC5" s="1174"/>
      <c r="AD5" s="1174"/>
      <c r="AE5" s="1174"/>
      <c r="AF5" s="1174"/>
      <c r="AG5" s="1174"/>
      <c r="AH5" s="1175"/>
    </row>
    <row r="6" spans="1:60" ht="23.15" customHeight="1">
      <c r="A6" s="1186"/>
      <c r="B6" s="1187"/>
      <c r="C6" s="1187"/>
      <c r="D6" s="1188"/>
      <c r="E6" s="1170" t="s">
        <v>543</v>
      </c>
      <c r="F6" s="1171"/>
      <c r="G6" s="1171"/>
      <c r="H6" s="1171"/>
      <c r="I6" s="1172"/>
      <c r="J6" s="1180" t="s">
        <v>1452</v>
      </c>
      <c r="K6" s="1181"/>
      <c r="L6" s="1181"/>
      <c r="M6" s="1181"/>
      <c r="N6" s="1162"/>
      <c r="O6" s="1163"/>
      <c r="P6" s="1163"/>
      <c r="Q6" s="1163"/>
      <c r="R6" s="1163"/>
      <c r="S6" s="1163"/>
      <c r="T6" s="1164"/>
      <c r="U6" s="1180" t="s">
        <v>1001</v>
      </c>
      <c r="V6" s="1181"/>
      <c r="W6" s="1181"/>
      <c r="X6" s="1182"/>
      <c r="Y6" s="1162"/>
      <c r="Z6" s="1163"/>
      <c r="AA6" s="1163"/>
      <c r="AB6" s="1163"/>
      <c r="AC6" s="1163"/>
      <c r="AD6" s="1163"/>
      <c r="AE6" s="1163"/>
      <c r="AF6" s="1163"/>
      <c r="AG6" s="1163"/>
      <c r="AH6" s="1164"/>
    </row>
    <row r="7" spans="1:60" ht="23.15" customHeight="1">
      <c r="A7" s="1186"/>
      <c r="B7" s="1187"/>
      <c r="C7" s="1187"/>
      <c r="D7" s="1188"/>
      <c r="E7" s="1152" t="s">
        <v>803</v>
      </c>
      <c r="F7" s="1153"/>
      <c r="G7" s="1153"/>
      <c r="H7" s="1153"/>
      <c r="I7" s="1154"/>
      <c r="J7" s="1176"/>
      <c r="K7" s="1177"/>
      <c r="L7" s="1177"/>
      <c r="M7" s="1177"/>
      <c r="N7" s="1178"/>
      <c r="O7" s="1178"/>
      <c r="P7" s="1178"/>
      <c r="Q7" s="1178"/>
      <c r="R7" s="1178"/>
      <c r="S7" s="1178"/>
      <c r="T7" s="1178"/>
      <c r="U7" s="1178"/>
      <c r="V7" s="1178"/>
      <c r="W7" s="1178"/>
      <c r="X7" s="1178"/>
      <c r="Y7" s="1178"/>
      <c r="Z7" s="1178"/>
      <c r="AA7" s="1178"/>
      <c r="AB7" s="1178"/>
      <c r="AC7" s="1178"/>
      <c r="AD7" s="1178"/>
      <c r="AE7" s="1178"/>
      <c r="AF7" s="1178"/>
      <c r="AG7" s="1178"/>
      <c r="AH7" s="1179"/>
      <c r="AI7" s="593"/>
      <c r="AJ7" s="593"/>
      <c r="AK7" s="593"/>
      <c r="AL7" s="593"/>
      <c r="AM7" s="593"/>
      <c r="AN7" s="593"/>
      <c r="AO7" s="593"/>
      <c r="AP7" s="593"/>
      <c r="AQ7" s="593"/>
      <c r="AR7" s="593"/>
      <c r="AS7" s="593"/>
      <c r="AT7" s="593"/>
      <c r="AU7" s="593"/>
      <c r="AV7" s="593"/>
      <c r="AW7" s="593"/>
      <c r="AX7" s="593"/>
      <c r="AY7" s="593"/>
      <c r="AZ7" s="593"/>
      <c r="BA7" s="593"/>
      <c r="BB7" s="593"/>
      <c r="BC7" s="593"/>
      <c r="BD7" s="593"/>
      <c r="BE7" s="593"/>
      <c r="BF7" s="593"/>
    </row>
    <row r="8" spans="1:60" ht="18" customHeight="1">
      <c r="A8" s="1186"/>
      <c r="B8" s="1187"/>
      <c r="C8" s="1187"/>
      <c r="D8" s="1188"/>
      <c r="E8" s="1137" t="s">
        <v>993</v>
      </c>
      <c r="F8" s="1138"/>
      <c r="G8" s="1138"/>
      <c r="H8" s="1138"/>
      <c r="I8" s="1139"/>
      <c r="J8" s="1143" t="s">
        <v>887</v>
      </c>
      <c r="K8" s="1144"/>
      <c r="L8" s="1144"/>
      <c r="M8" s="1145"/>
      <c r="N8" s="1149" t="s">
        <v>886</v>
      </c>
      <c r="O8" s="1150"/>
      <c r="P8" s="1150"/>
      <c r="Q8" s="1150"/>
      <c r="R8" s="1150"/>
      <c r="S8" s="1150"/>
      <c r="T8" s="1150"/>
      <c r="U8" s="1150"/>
      <c r="V8" s="1150"/>
      <c r="W8" s="1150"/>
      <c r="X8" s="1150"/>
      <c r="Y8" s="1150"/>
      <c r="Z8" s="1150"/>
      <c r="AA8" s="1150"/>
      <c r="AB8" s="1150"/>
      <c r="AC8" s="1150"/>
      <c r="AD8" s="1150"/>
      <c r="AE8" s="1150"/>
      <c r="AF8" s="1150"/>
      <c r="AG8" s="1150"/>
      <c r="AH8" s="1151"/>
      <c r="AI8" s="594"/>
      <c r="AJ8" s="595"/>
      <c r="AK8" s="595"/>
      <c r="AL8" s="595"/>
      <c r="AM8" s="595"/>
      <c r="AN8" s="595"/>
      <c r="AO8" s="595"/>
      <c r="AP8" s="595"/>
      <c r="AQ8" s="595"/>
      <c r="AR8" s="595"/>
      <c r="AS8" s="595"/>
      <c r="AT8" s="593"/>
      <c r="AU8" s="593"/>
      <c r="AV8" s="593"/>
      <c r="AW8" s="593"/>
      <c r="AX8" s="593"/>
      <c r="AY8" s="593"/>
      <c r="AZ8" s="593"/>
      <c r="BA8" s="593"/>
      <c r="BB8" s="593"/>
      <c r="BC8" s="593"/>
      <c r="BD8" s="593"/>
      <c r="BE8" s="593"/>
      <c r="BF8" s="593"/>
      <c r="BG8" s="593"/>
      <c r="BH8" s="593"/>
    </row>
    <row r="9" spans="1:60" ht="18" customHeight="1">
      <c r="A9" s="1186"/>
      <c r="B9" s="1187"/>
      <c r="C9" s="1187"/>
      <c r="D9" s="1188"/>
      <c r="E9" s="1140"/>
      <c r="F9" s="1141"/>
      <c r="G9" s="1141"/>
      <c r="H9" s="1141"/>
      <c r="I9" s="1142"/>
      <c r="J9" s="1146" t="s">
        <v>888</v>
      </c>
      <c r="K9" s="1147"/>
      <c r="L9" s="1147"/>
      <c r="M9" s="1148"/>
      <c r="N9" s="1235" t="s">
        <v>886</v>
      </c>
      <c r="O9" s="1235"/>
      <c r="P9" s="1235"/>
      <c r="Q9" s="1235"/>
      <c r="R9" s="1235"/>
      <c r="S9" s="1235"/>
      <c r="T9" s="1235"/>
      <c r="U9" s="1235"/>
      <c r="V9" s="1235"/>
      <c r="W9" s="1235"/>
      <c r="X9" s="1235"/>
      <c r="Y9" s="1235"/>
      <c r="Z9" s="1235"/>
      <c r="AA9" s="1235"/>
      <c r="AB9" s="1235"/>
      <c r="AC9" s="1235"/>
      <c r="AD9" s="1235"/>
      <c r="AE9" s="1235"/>
      <c r="AF9" s="1235"/>
      <c r="AG9" s="1235"/>
      <c r="AH9" s="1236"/>
      <c r="AI9" s="593"/>
      <c r="AJ9" s="593"/>
      <c r="AK9" s="593"/>
      <c r="AL9" s="593"/>
      <c r="AM9" s="593"/>
      <c r="AN9" s="593"/>
      <c r="AO9" s="593"/>
      <c r="AP9" s="593"/>
      <c r="AQ9" s="593"/>
      <c r="AR9" s="593"/>
      <c r="AS9" s="593"/>
      <c r="AT9" s="593"/>
      <c r="AU9" s="593"/>
      <c r="AV9" s="593"/>
      <c r="AW9" s="593"/>
      <c r="AX9" s="593"/>
      <c r="AY9" s="593"/>
      <c r="AZ9" s="593"/>
      <c r="BA9" s="593"/>
      <c r="BB9" s="593"/>
      <c r="BC9" s="593"/>
      <c r="BD9" s="593"/>
      <c r="BE9" s="593"/>
      <c r="BF9" s="593"/>
    </row>
    <row r="10" spans="1:60" ht="27" customHeight="1">
      <c r="A10" s="1186"/>
      <c r="B10" s="1187"/>
      <c r="C10" s="1187"/>
      <c r="D10" s="1188"/>
      <c r="E10" s="1152" t="s">
        <v>804</v>
      </c>
      <c r="F10" s="1153"/>
      <c r="G10" s="1153"/>
      <c r="H10" s="1153"/>
      <c r="I10" s="1154"/>
      <c r="J10" s="1155"/>
      <c r="K10" s="1156"/>
      <c r="L10" s="1156"/>
      <c r="M10" s="1156"/>
      <c r="N10" s="1156"/>
      <c r="O10" s="596" t="s">
        <v>806</v>
      </c>
      <c r="P10" s="1157" t="s">
        <v>545</v>
      </c>
      <c r="Q10" s="1158"/>
      <c r="R10" s="1158"/>
      <c r="S10" s="1158"/>
      <c r="T10" s="1159"/>
      <c r="U10" s="1160"/>
      <c r="V10" s="1161"/>
      <c r="W10" s="1161"/>
      <c r="X10" s="1161"/>
      <c r="Y10" s="597" t="s">
        <v>808</v>
      </c>
      <c r="Z10" s="1157" t="s">
        <v>807</v>
      </c>
      <c r="AA10" s="1158"/>
      <c r="AB10" s="1158"/>
      <c r="AC10" s="1158"/>
      <c r="AD10" s="1159"/>
      <c r="AE10" s="1134" t="s">
        <v>999</v>
      </c>
      <c r="AF10" s="1135"/>
      <c r="AG10" s="1135"/>
      <c r="AH10" s="1136"/>
      <c r="AI10" s="593"/>
      <c r="AJ10" s="593"/>
      <c r="AK10" s="593"/>
      <c r="AL10" s="593"/>
      <c r="AM10" s="593"/>
      <c r="AN10" s="593"/>
      <c r="AO10" s="593"/>
      <c r="AP10" s="593"/>
      <c r="AQ10" s="593"/>
      <c r="AR10" s="593"/>
      <c r="AS10" s="593"/>
      <c r="AT10" s="593"/>
      <c r="AU10" s="593"/>
      <c r="AV10" s="593"/>
      <c r="AW10" s="593"/>
      <c r="AX10" s="593"/>
      <c r="AY10" s="593"/>
      <c r="AZ10" s="593"/>
      <c r="BA10" s="593"/>
      <c r="BB10" s="593"/>
      <c r="BC10" s="593"/>
      <c r="BD10" s="593"/>
      <c r="BE10" s="593"/>
      <c r="BF10" s="593"/>
    </row>
    <row r="11" spans="1:60" ht="27" customHeight="1">
      <c r="A11" s="1189"/>
      <c r="B11" s="1190"/>
      <c r="C11" s="1190"/>
      <c r="D11" s="1191"/>
      <c r="E11" s="1152" t="s">
        <v>1005</v>
      </c>
      <c r="F11" s="1153"/>
      <c r="G11" s="1153"/>
      <c r="H11" s="1153"/>
      <c r="I11" s="1154"/>
      <c r="J11" s="1192"/>
      <c r="K11" s="1163"/>
      <c r="L11" s="1163"/>
      <c r="M11" s="1163"/>
      <c r="N11" s="1163"/>
      <c r="O11" s="1163"/>
      <c r="P11" s="1163"/>
      <c r="Q11" s="1163"/>
      <c r="R11" s="1163"/>
      <c r="S11" s="1163"/>
      <c r="T11" s="1163"/>
      <c r="U11" s="1163"/>
      <c r="V11" s="1163"/>
      <c r="W11" s="1163"/>
      <c r="X11" s="1163"/>
      <c r="Y11" s="1163"/>
      <c r="Z11" s="1163"/>
      <c r="AA11" s="1163"/>
      <c r="AB11" s="1163"/>
      <c r="AC11" s="1163"/>
      <c r="AD11" s="1163"/>
      <c r="AE11" s="1163"/>
      <c r="AF11" s="1163"/>
      <c r="AG11" s="1163"/>
      <c r="AH11" s="1164"/>
      <c r="AI11" s="593"/>
      <c r="AJ11" s="593"/>
      <c r="AK11" s="593"/>
      <c r="AL11" s="593"/>
      <c r="AM11" s="593"/>
      <c r="AN11" s="593"/>
      <c r="AO11" s="593"/>
      <c r="AP11" s="593"/>
      <c r="AQ11" s="593"/>
      <c r="AR11" s="593"/>
      <c r="AS11" s="593"/>
      <c r="AT11" s="593"/>
      <c r="AU11" s="593"/>
      <c r="AV11" s="593"/>
      <c r="AW11" s="593"/>
      <c r="AX11" s="593"/>
      <c r="AY11" s="593"/>
      <c r="AZ11" s="593"/>
      <c r="BA11" s="593"/>
      <c r="BB11" s="593"/>
      <c r="BC11" s="593"/>
      <c r="BD11" s="593"/>
      <c r="BE11" s="593"/>
      <c r="BF11" s="593"/>
    </row>
    <row r="12" spans="1:60" ht="23.15" customHeight="1">
      <c r="A12" s="1194" t="s">
        <v>546</v>
      </c>
      <c r="B12" s="1194"/>
      <c r="C12" s="1194"/>
      <c r="D12" s="1194"/>
      <c r="E12" s="1170" t="s">
        <v>547</v>
      </c>
      <c r="F12" s="1171"/>
      <c r="G12" s="1171"/>
      <c r="H12" s="1171"/>
      <c r="I12" s="1172"/>
      <c r="J12" s="1173"/>
      <c r="K12" s="1174"/>
      <c r="L12" s="1174"/>
      <c r="M12" s="1174"/>
      <c r="N12" s="1174"/>
      <c r="O12" s="1174"/>
      <c r="P12" s="1174"/>
      <c r="Q12" s="1174"/>
      <c r="R12" s="1174"/>
      <c r="S12" s="1174"/>
      <c r="T12" s="1174"/>
      <c r="U12" s="1174"/>
      <c r="V12" s="1174"/>
      <c r="W12" s="1174"/>
      <c r="X12" s="1174"/>
      <c r="Y12" s="1174"/>
      <c r="Z12" s="1174"/>
      <c r="AA12" s="1174"/>
      <c r="AB12" s="1174"/>
      <c r="AC12" s="1174"/>
      <c r="AD12" s="1174"/>
      <c r="AE12" s="1174"/>
      <c r="AF12" s="1174"/>
      <c r="AG12" s="1174"/>
      <c r="AH12" s="1175"/>
    </row>
    <row r="13" spans="1:60" ht="18" customHeight="1">
      <c r="A13" s="1194"/>
      <c r="B13" s="1194"/>
      <c r="C13" s="1194"/>
      <c r="D13" s="1194"/>
      <c r="E13" s="1204" t="s">
        <v>548</v>
      </c>
      <c r="F13" s="1205"/>
      <c r="G13" s="1205"/>
      <c r="H13" s="1205"/>
      <c r="I13" s="1206"/>
      <c r="J13" s="1180" t="s">
        <v>1000</v>
      </c>
      <c r="K13" s="1181"/>
      <c r="L13" s="1162"/>
      <c r="M13" s="1163"/>
      <c r="N13" s="1163"/>
      <c r="O13" s="1163"/>
      <c r="P13" s="1163"/>
      <c r="Q13" s="1163"/>
      <c r="R13" s="1163"/>
      <c r="S13" s="1163"/>
      <c r="T13" s="1164"/>
      <c r="U13" s="1165"/>
      <c r="V13" s="1166"/>
      <c r="W13" s="1166"/>
      <c r="X13" s="1166"/>
      <c r="Y13" s="1166"/>
      <c r="Z13" s="1166"/>
      <c r="AA13" s="1166"/>
      <c r="AB13" s="1166"/>
      <c r="AC13" s="1166"/>
      <c r="AD13" s="1166"/>
      <c r="AE13" s="1166"/>
      <c r="AF13" s="1166"/>
      <c r="AG13" s="1166"/>
      <c r="AH13" s="1167"/>
    </row>
    <row r="14" spans="1:60" ht="23.15" customHeight="1">
      <c r="A14" s="1194"/>
      <c r="B14" s="1194"/>
      <c r="C14" s="1194"/>
      <c r="D14" s="1194"/>
      <c r="E14" s="1207"/>
      <c r="F14" s="1208"/>
      <c r="G14" s="1208"/>
      <c r="H14" s="1208"/>
      <c r="I14" s="1209"/>
      <c r="J14" s="1195"/>
      <c r="K14" s="1178"/>
      <c r="L14" s="1178"/>
      <c r="M14" s="1178"/>
      <c r="N14" s="1178"/>
      <c r="O14" s="1178"/>
      <c r="P14" s="1178"/>
      <c r="Q14" s="1178"/>
      <c r="R14" s="1178"/>
      <c r="S14" s="1178"/>
      <c r="T14" s="1178"/>
      <c r="U14" s="1178"/>
      <c r="V14" s="1178"/>
      <c r="W14" s="1178"/>
      <c r="X14" s="1178"/>
      <c r="Y14" s="1178"/>
      <c r="Z14" s="1178"/>
      <c r="AA14" s="1178"/>
      <c r="AB14" s="1178"/>
      <c r="AC14" s="1178"/>
      <c r="AD14" s="1178"/>
      <c r="AE14" s="1178"/>
      <c r="AF14" s="1178"/>
      <c r="AG14" s="1178"/>
      <c r="AH14" s="1179"/>
    </row>
    <row r="15" spans="1:60" ht="13.5" customHeight="1">
      <c r="A15" s="1194"/>
      <c r="B15" s="1194"/>
      <c r="C15" s="1194"/>
      <c r="D15" s="1194"/>
      <c r="E15" s="1196" t="s">
        <v>1002</v>
      </c>
      <c r="F15" s="1196"/>
      <c r="G15" s="1196"/>
      <c r="H15" s="1196"/>
      <c r="I15" s="1196"/>
      <c r="J15" s="1196"/>
      <c r="K15" s="1196"/>
      <c r="L15" s="1196" t="s">
        <v>1027</v>
      </c>
      <c r="M15" s="1196"/>
      <c r="N15" s="1196"/>
      <c r="O15" s="1196"/>
      <c r="P15" s="1196"/>
      <c r="Q15" s="1196"/>
      <c r="R15" s="1196" t="s">
        <v>1449</v>
      </c>
      <c r="S15" s="1196"/>
      <c r="T15" s="1196"/>
      <c r="U15" s="1196"/>
      <c r="V15" s="1196"/>
      <c r="W15" s="1196"/>
      <c r="X15" s="1196" t="s">
        <v>1450</v>
      </c>
      <c r="Y15" s="1196"/>
      <c r="Z15" s="1196"/>
      <c r="AA15" s="1196"/>
      <c r="AB15" s="1196"/>
      <c r="AC15" s="1196"/>
      <c r="AD15" s="1198" t="str">
        <f>IF(X16&gt;=100,"省エネ診断要受診","")</f>
        <v/>
      </c>
      <c r="AE15" s="1199"/>
      <c r="AF15" s="1199"/>
      <c r="AG15" s="1199"/>
      <c r="AH15" s="1200"/>
    </row>
    <row r="16" spans="1:60" ht="18" customHeight="1">
      <c r="A16" s="1194"/>
      <c r="B16" s="1194"/>
      <c r="C16" s="1194"/>
      <c r="D16" s="1194"/>
      <c r="E16" s="1196"/>
      <c r="F16" s="1196"/>
      <c r="G16" s="1196"/>
      <c r="H16" s="1196"/>
      <c r="I16" s="1196"/>
      <c r="J16" s="1196"/>
      <c r="K16" s="1196"/>
      <c r="L16" s="1197">
        <f>'原油換算 '!M17</f>
        <v>0</v>
      </c>
      <c r="M16" s="1197"/>
      <c r="N16" s="1197"/>
      <c r="O16" s="1197"/>
      <c r="P16" s="1197"/>
      <c r="Q16" s="1197"/>
      <c r="R16" s="1197">
        <f>'原油換算 '!N17</f>
        <v>0</v>
      </c>
      <c r="S16" s="1197"/>
      <c r="T16" s="1197"/>
      <c r="U16" s="1197"/>
      <c r="V16" s="1197"/>
      <c r="W16" s="1197"/>
      <c r="X16" s="1197">
        <f>'原油換算 '!O17</f>
        <v>0</v>
      </c>
      <c r="Y16" s="1197"/>
      <c r="Z16" s="1197"/>
      <c r="AA16" s="1197"/>
      <c r="AB16" s="1197"/>
      <c r="AC16" s="1197"/>
      <c r="AD16" s="1201"/>
      <c r="AE16" s="1202"/>
      <c r="AF16" s="1202"/>
      <c r="AG16" s="1202"/>
      <c r="AH16" s="1203"/>
    </row>
    <row r="17" spans="1:34" ht="18" customHeight="1">
      <c r="A17" s="1210" t="s">
        <v>742</v>
      </c>
      <c r="B17" s="1194"/>
      <c r="C17" s="1194"/>
      <c r="D17" s="1194"/>
      <c r="E17" s="1211" t="s">
        <v>550</v>
      </c>
      <c r="F17" s="1211"/>
      <c r="G17" s="1211"/>
      <c r="H17" s="1212"/>
      <c r="I17" s="1212"/>
      <c r="J17" s="1212"/>
      <c r="K17" s="1212"/>
      <c r="L17" s="1212"/>
      <c r="M17" s="1212"/>
      <c r="N17" s="1212"/>
      <c r="O17" s="1212"/>
      <c r="P17" s="1212"/>
      <c r="Q17" s="1212"/>
      <c r="R17" s="1212"/>
      <c r="S17" s="1213" t="s">
        <v>551</v>
      </c>
      <c r="T17" s="1213"/>
      <c r="U17" s="1213"/>
      <c r="V17" s="1212"/>
      <c r="W17" s="1212"/>
      <c r="X17" s="1212"/>
      <c r="Y17" s="1212"/>
      <c r="Z17" s="1212"/>
      <c r="AA17" s="1212"/>
      <c r="AB17" s="1212"/>
      <c r="AC17" s="1212"/>
      <c r="AD17" s="1212"/>
      <c r="AE17" s="1212"/>
      <c r="AF17" s="1212"/>
      <c r="AG17" s="1212"/>
      <c r="AH17" s="1212"/>
    </row>
    <row r="18" spans="1:34" ht="18" customHeight="1">
      <c r="A18" s="1194"/>
      <c r="B18" s="1194"/>
      <c r="C18" s="1194"/>
      <c r="D18" s="1194"/>
      <c r="E18" s="1213" t="s">
        <v>552</v>
      </c>
      <c r="F18" s="1213"/>
      <c r="G18" s="1213"/>
      <c r="H18" s="1212"/>
      <c r="I18" s="1212"/>
      <c r="J18" s="1212"/>
      <c r="K18" s="1212"/>
      <c r="L18" s="1212"/>
      <c r="M18" s="1212"/>
      <c r="N18" s="1212"/>
      <c r="O18" s="1212"/>
      <c r="P18" s="1212"/>
      <c r="Q18" s="1212"/>
      <c r="R18" s="1212"/>
      <c r="S18" s="1213" t="s">
        <v>553</v>
      </c>
      <c r="T18" s="1213"/>
      <c r="U18" s="1213"/>
      <c r="V18" s="1212"/>
      <c r="W18" s="1212"/>
      <c r="X18" s="1212"/>
      <c r="Y18" s="1212"/>
      <c r="Z18" s="1212"/>
      <c r="AA18" s="1212"/>
      <c r="AB18" s="1212"/>
      <c r="AC18" s="1212"/>
      <c r="AD18" s="1212"/>
      <c r="AE18" s="1212"/>
      <c r="AF18" s="1212"/>
      <c r="AG18" s="1212"/>
      <c r="AH18" s="1212"/>
    </row>
    <row r="19" spans="1:34" ht="18" customHeight="1">
      <c r="A19" s="1194"/>
      <c r="B19" s="1194"/>
      <c r="C19" s="1194"/>
      <c r="D19" s="1194"/>
      <c r="E19" s="1213" t="s">
        <v>554</v>
      </c>
      <c r="F19" s="1213"/>
      <c r="G19" s="1213"/>
      <c r="H19" s="1212"/>
      <c r="I19" s="1212"/>
      <c r="J19" s="1212"/>
      <c r="K19" s="1212"/>
      <c r="L19" s="1212"/>
      <c r="M19" s="1212"/>
      <c r="N19" s="1212"/>
      <c r="O19" s="1212"/>
      <c r="P19" s="1212"/>
      <c r="Q19" s="1212"/>
      <c r="R19" s="1212"/>
      <c r="S19" s="1211" t="s">
        <v>555</v>
      </c>
      <c r="T19" s="1211"/>
      <c r="U19" s="1211"/>
      <c r="V19" s="1214"/>
      <c r="W19" s="1212"/>
      <c r="X19" s="1212"/>
      <c r="Y19" s="1212"/>
      <c r="Z19" s="1212"/>
      <c r="AA19" s="1212"/>
      <c r="AB19" s="1212"/>
      <c r="AC19" s="1212"/>
      <c r="AD19" s="1212"/>
      <c r="AE19" s="1212"/>
      <c r="AF19" s="1212"/>
      <c r="AG19" s="1212"/>
      <c r="AH19" s="1212"/>
    </row>
    <row r="20" spans="1:34" ht="18" customHeight="1">
      <c r="A20" s="1194"/>
      <c r="B20" s="1194"/>
      <c r="C20" s="1194"/>
      <c r="D20" s="1194"/>
      <c r="E20" s="1215" t="s">
        <v>743</v>
      </c>
      <c r="F20" s="1216"/>
      <c r="G20" s="1216"/>
      <c r="H20" s="1216"/>
      <c r="I20" s="1217"/>
      <c r="J20" s="1180" t="s">
        <v>1000</v>
      </c>
      <c r="K20" s="1181"/>
      <c r="L20" s="1162"/>
      <c r="M20" s="1163"/>
      <c r="N20" s="1163"/>
      <c r="O20" s="1163"/>
      <c r="P20" s="1163"/>
      <c r="Q20" s="1163"/>
      <c r="R20" s="1163"/>
      <c r="S20" s="1163"/>
      <c r="T20" s="1164"/>
      <c r="U20" s="1165"/>
      <c r="V20" s="1166"/>
      <c r="W20" s="1166"/>
      <c r="X20" s="1166"/>
      <c r="Y20" s="1166"/>
      <c r="Z20" s="1166"/>
      <c r="AA20" s="1166"/>
      <c r="AB20" s="1166"/>
      <c r="AC20" s="1166"/>
      <c r="AD20" s="1166"/>
      <c r="AE20" s="1166"/>
      <c r="AF20" s="1166"/>
      <c r="AG20" s="1166"/>
      <c r="AH20" s="1167"/>
    </row>
    <row r="21" spans="1:34" ht="23.15" customHeight="1">
      <c r="A21" s="1194"/>
      <c r="B21" s="1194"/>
      <c r="C21" s="1194"/>
      <c r="D21" s="1194"/>
      <c r="E21" s="1218"/>
      <c r="F21" s="1219"/>
      <c r="G21" s="1219"/>
      <c r="H21" s="1219"/>
      <c r="I21" s="1220"/>
      <c r="J21" s="1195"/>
      <c r="K21" s="1178"/>
      <c r="L21" s="1178"/>
      <c r="M21" s="1178"/>
      <c r="N21" s="1178"/>
      <c r="O21" s="1178"/>
      <c r="P21" s="1178"/>
      <c r="Q21" s="1178"/>
      <c r="R21" s="1178"/>
      <c r="S21" s="1178"/>
      <c r="T21" s="1178"/>
      <c r="U21" s="1178"/>
      <c r="V21" s="1178"/>
      <c r="W21" s="1178"/>
      <c r="X21" s="1178"/>
      <c r="Y21" s="1178"/>
      <c r="Z21" s="1178"/>
      <c r="AA21" s="1178"/>
      <c r="AB21" s="1178"/>
      <c r="AC21" s="1178"/>
      <c r="AD21" s="1178"/>
      <c r="AE21" s="1178"/>
      <c r="AF21" s="1178"/>
      <c r="AG21" s="1178"/>
      <c r="AH21" s="1179"/>
    </row>
    <row r="22" spans="1:34" ht="6" customHeight="1">
      <c r="A22" s="593"/>
      <c r="B22" s="598"/>
      <c r="C22" s="598"/>
      <c r="D22" s="598"/>
      <c r="E22" s="599"/>
      <c r="F22" s="599"/>
      <c r="G22" s="599"/>
      <c r="H22" s="599"/>
      <c r="I22" s="599"/>
      <c r="J22" s="712"/>
      <c r="K22" s="712"/>
      <c r="L22" s="712"/>
      <c r="M22" s="712"/>
      <c r="N22" s="712"/>
      <c r="O22" s="712"/>
      <c r="P22" s="712"/>
      <c r="Q22" s="712"/>
      <c r="R22" s="712"/>
      <c r="S22" s="712"/>
      <c r="T22" s="712"/>
      <c r="U22" s="712"/>
      <c r="V22" s="712"/>
      <c r="W22" s="712"/>
      <c r="X22" s="712"/>
      <c r="Y22" s="712"/>
      <c r="Z22" s="712"/>
      <c r="AA22" s="712"/>
      <c r="AB22" s="712"/>
      <c r="AC22" s="712"/>
      <c r="AD22" s="712"/>
      <c r="AE22" s="712"/>
      <c r="AF22" s="712"/>
      <c r="AG22" s="712"/>
      <c r="AH22" s="713"/>
    </row>
    <row r="23" spans="1:34" ht="6" customHeight="1">
      <c r="A23" s="598"/>
      <c r="B23" s="598"/>
      <c r="C23" s="598"/>
      <c r="D23" s="598"/>
      <c r="E23" s="598"/>
      <c r="F23" s="598"/>
      <c r="G23" s="598"/>
      <c r="H23" s="598"/>
      <c r="I23" s="598"/>
      <c r="J23" s="598"/>
      <c r="K23" s="598"/>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714"/>
    </row>
    <row r="24" spans="1:34" ht="12.65" customHeight="1">
      <c r="A24" s="600" t="s">
        <v>606</v>
      </c>
      <c r="B24" s="598"/>
      <c r="C24" s="598"/>
      <c r="D24" s="598"/>
      <c r="E24" s="599"/>
      <c r="F24" s="599"/>
      <c r="G24" s="599"/>
      <c r="H24" s="599"/>
      <c r="I24" s="593"/>
      <c r="J24" s="712"/>
      <c r="K24" s="712"/>
      <c r="L24" s="712"/>
      <c r="M24" s="712"/>
      <c r="N24" s="712"/>
      <c r="O24" s="712"/>
      <c r="P24" s="712"/>
      <c r="Q24" s="712"/>
      <c r="R24" s="712"/>
      <c r="S24" s="712"/>
      <c r="T24" s="712"/>
      <c r="U24" s="712"/>
      <c r="V24" s="712"/>
      <c r="W24" s="712"/>
      <c r="X24" s="712"/>
      <c r="Y24" s="712"/>
      <c r="Z24" s="712"/>
      <c r="AA24" s="712"/>
      <c r="AB24" s="712"/>
      <c r="AC24" s="712"/>
      <c r="AD24" s="712"/>
      <c r="AE24" s="712"/>
      <c r="AF24" s="712"/>
      <c r="AG24" s="712"/>
      <c r="AH24" s="713"/>
    </row>
    <row r="25" spans="1:34" ht="27" customHeight="1">
      <c r="A25" s="1210" t="s">
        <v>558</v>
      </c>
      <c r="B25" s="1194"/>
      <c r="C25" s="1194"/>
      <c r="D25" s="1194"/>
      <c r="E25" s="1224" t="s">
        <v>542</v>
      </c>
      <c r="F25" s="1225"/>
      <c r="G25" s="1225"/>
      <c r="H25" s="1225"/>
      <c r="I25" s="1226"/>
      <c r="J25" s="1227"/>
      <c r="K25" s="1228"/>
      <c r="L25" s="1228"/>
      <c r="M25" s="1228"/>
      <c r="N25" s="1228"/>
      <c r="O25" s="1228"/>
      <c r="P25" s="1228"/>
      <c r="Q25" s="1228"/>
      <c r="R25" s="1228"/>
      <c r="S25" s="1228"/>
      <c r="T25" s="1228"/>
      <c r="U25" s="1228"/>
      <c r="V25" s="1228"/>
      <c r="W25" s="1228"/>
      <c r="X25" s="1228"/>
      <c r="Y25" s="1228"/>
      <c r="Z25" s="1228"/>
      <c r="AA25" s="1228"/>
      <c r="AB25" s="1228"/>
      <c r="AC25" s="1228"/>
      <c r="AD25" s="1228"/>
      <c r="AE25" s="1228"/>
      <c r="AF25" s="1228"/>
      <c r="AG25" s="1228"/>
      <c r="AH25" s="1229"/>
    </row>
    <row r="26" spans="1:34" ht="27" customHeight="1">
      <c r="A26" s="1194"/>
      <c r="B26" s="1194"/>
      <c r="C26" s="1194"/>
      <c r="D26" s="1194"/>
      <c r="E26" s="1224" t="s">
        <v>543</v>
      </c>
      <c r="F26" s="1225"/>
      <c r="G26" s="1225"/>
      <c r="H26" s="1225"/>
      <c r="I26" s="1226"/>
      <c r="J26" s="1227"/>
      <c r="K26" s="1228"/>
      <c r="L26" s="1228"/>
      <c r="M26" s="1228"/>
      <c r="N26" s="1228"/>
      <c r="O26" s="1228"/>
      <c r="P26" s="1228"/>
      <c r="Q26" s="1228"/>
      <c r="R26" s="1228"/>
      <c r="S26" s="1228"/>
      <c r="T26" s="1228"/>
      <c r="U26" s="1228"/>
      <c r="V26" s="1228"/>
      <c r="W26" s="1228"/>
      <c r="X26" s="1228"/>
      <c r="Y26" s="1228"/>
      <c r="Z26" s="1228"/>
      <c r="AA26" s="1228"/>
      <c r="AB26" s="1228"/>
      <c r="AC26" s="1228"/>
      <c r="AD26" s="1228"/>
      <c r="AE26" s="1228"/>
      <c r="AF26" s="1228"/>
      <c r="AG26" s="1228"/>
      <c r="AH26" s="1229"/>
    </row>
    <row r="27" spans="1:34" ht="27" customHeight="1">
      <c r="A27" s="1194"/>
      <c r="B27" s="1194"/>
      <c r="C27" s="1194"/>
      <c r="D27" s="1194"/>
      <c r="E27" s="1157" t="s">
        <v>544</v>
      </c>
      <c r="F27" s="1158"/>
      <c r="G27" s="1158"/>
      <c r="H27" s="1158"/>
      <c r="I27" s="1159"/>
      <c r="J27" s="1232" t="s">
        <v>557</v>
      </c>
      <c r="K27" s="1233"/>
      <c r="L27" s="1233"/>
      <c r="M27" s="1233"/>
      <c r="N27" s="1233"/>
      <c r="O27" s="1233"/>
      <c r="P27" s="1233"/>
      <c r="Q27" s="1233"/>
      <c r="R27" s="1233"/>
      <c r="S27" s="1233"/>
      <c r="T27" s="1233"/>
      <c r="U27" s="1233"/>
      <c r="V27" s="1233"/>
      <c r="W27" s="1233"/>
      <c r="X27" s="1233"/>
      <c r="Y27" s="1233"/>
      <c r="Z27" s="1233"/>
      <c r="AA27" s="1233"/>
      <c r="AB27" s="1233"/>
      <c r="AC27" s="1233"/>
      <c r="AD27" s="1233"/>
      <c r="AE27" s="1233"/>
      <c r="AF27" s="1233"/>
      <c r="AG27" s="1233"/>
      <c r="AH27" s="1234"/>
    </row>
    <row r="28" spans="1:34" ht="18" customHeight="1">
      <c r="A28" s="1194" t="s">
        <v>549</v>
      </c>
      <c r="B28" s="1194"/>
      <c r="C28" s="1194"/>
      <c r="D28" s="1194"/>
      <c r="E28" s="1211" t="s">
        <v>550</v>
      </c>
      <c r="F28" s="1211"/>
      <c r="G28" s="1211"/>
      <c r="H28" s="1221"/>
      <c r="I28" s="1222"/>
      <c r="J28" s="1222"/>
      <c r="K28" s="1222"/>
      <c r="L28" s="1222"/>
      <c r="M28" s="1222"/>
      <c r="N28" s="1222"/>
      <c r="O28" s="1222"/>
      <c r="P28" s="1222"/>
      <c r="Q28" s="1222"/>
      <c r="R28" s="1223"/>
      <c r="S28" s="1213" t="s">
        <v>551</v>
      </c>
      <c r="T28" s="1213"/>
      <c r="U28" s="1213"/>
      <c r="V28" s="1221"/>
      <c r="W28" s="1222"/>
      <c r="X28" s="1222"/>
      <c r="Y28" s="1222"/>
      <c r="Z28" s="1222"/>
      <c r="AA28" s="1222"/>
      <c r="AB28" s="1222"/>
      <c r="AC28" s="1222"/>
      <c r="AD28" s="1222"/>
      <c r="AE28" s="1222"/>
      <c r="AF28" s="1222"/>
      <c r="AG28" s="1222"/>
      <c r="AH28" s="1223"/>
    </row>
    <row r="29" spans="1:34" ht="18" customHeight="1">
      <c r="A29" s="1194"/>
      <c r="B29" s="1194"/>
      <c r="C29" s="1194"/>
      <c r="D29" s="1194"/>
      <c r="E29" s="1213" t="s">
        <v>552</v>
      </c>
      <c r="F29" s="1213"/>
      <c r="G29" s="1213"/>
      <c r="H29" s="1221"/>
      <c r="I29" s="1222"/>
      <c r="J29" s="1222"/>
      <c r="K29" s="1222"/>
      <c r="L29" s="1222"/>
      <c r="M29" s="1222"/>
      <c r="N29" s="1222"/>
      <c r="O29" s="1222"/>
      <c r="P29" s="1222"/>
      <c r="Q29" s="1222"/>
      <c r="R29" s="1223"/>
      <c r="S29" s="1213" t="s">
        <v>553</v>
      </c>
      <c r="T29" s="1213"/>
      <c r="U29" s="1213"/>
      <c r="V29" s="1212"/>
      <c r="W29" s="1212"/>
      <c r="X29" s="1212"/>
      <c r="Y29" s="1212"/>
      <c r="Z29" s="1212"/>
      <c r="AA29" s="1212"/>
      <c r="AB29" s="1212"/>
      <c r="AC29" s="1212"/>
      <c r="AD29" s="1212"/>
      <c r="AE29" s="1212"/>
      <c r="AF29" s="1212"/>
      <c r="AG29" s="1212"/>
      <c r="AH29" s="1212"/>
    </row>
    <row r="30" spans="1:34" ht="18" customHeight="1">
      <c r="A30" s="1194"/>
      <c r="B30" s="1194"/>
      <c r="C30" s="1194"/>
      <c r="D30" s="1194"/>
      <c r="E30" s="1213" t="s">
        <v>554</v>
      </c>
      <c r="F30" s="1213"/>
      <c r="G30" s="1213"/>
      <c r="H30" s="1221"/>
      <c r="I30" s="1222"/>
      <c r="J30" s="1222"/>
      <c r="K30" s="1222"/>
      <c r="L30" s="1222"/>
      <c r="M30" s="1222"/>
      <c r="N30" s="1222"/>
      <c r="O30" s="1222"/>
      <c r="P30" s="1222"/>
      <c r="Q30" s="1222"/>
      <c r="R30" s="1223"/>
      <c r="S30" s="1211" t="s">
        <v>555</v>
      </c>
      <c r="T30" s="1211"/>
      <c r="U30" s="1211"/>
      <c r="V30" s="1214"/>
      <c r="W30" s="1212"/>
      <c r="X30" s="1212"/>
      <c r="Y30" s="1212"/>
      <c r="Z30" s="1212"/>
      <c r="AA30" s="1212"/>
      <c r="AB30" s="1212"/>
      <c r="AC30" s="1212"/>
      <c r="AD30" s="1212"/>
      <c r="AE30" s="1212"/>
      <c r="AF30" s="1212"/>
      <c r="AG30" s="1212"/>
      <c r="AH30" s="1212"/>
    </row>
    <row r="31" spans="1:34" ht="27" customHeight="1">
      <c r="A31" s="1194"/>
      <c r="B31" s="1194"/>
      <c r="C31" s="1194"/>
      <c r="D31" s="1194"/>
      <c r="E31" s="1196" t="s">
        <v>556</v>
      </c>
      <c r="F31" s="1196"/>
      <c r="G31" s="1196"/>
      <c r="H31" s="1196"/>
      <c r="I31" s="1196"/>
      <c r="J31" s="1232" t="s">
        <v>557</v>
      </c>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4"/>
    </row>
    <row r="32" spans="1:34" ht="13.5" customHeight="1">
      <c r="A32" s="598"/>
      <c r="B32" s="598"/>
      <c r="C32" s="598"/>
      <c r="D32" s="598"/>
      <c r="E32" s="599"/>
      <c r="F32" s="599"/>
      <c r="G32" s="599"/>
      <c r="H32" s="599"/>
      <c r="I32" s="599"/>
      <c r="J32" s="712"/>
      <c r="K32" s="712"/>
      <c r="L32" s="712"/>
      <c r="M32" s="712"/>
      <c r="N32" s="712"/>
      <c r="O32" s="712"/>
      <c r="P32" s="712"/>
      <c r="Q32" s="712"/>
      <c r="R32" s="712"/>
      <c r="S32" s="712"/>
      <c r="T32" s="712"/>
      <c r="U32" s="712"/>
      <c r="V32" s="712"/>
      <c r="W32" s="712"/>
      <c r="X32" s="712"/>
      <c r="Y32" s="712"/>
      <c r="Z32" s="712"/>
      <c r="AA32" s="712"/>
      <c r="AB32" s="712"/>
      <c r="AC32" s="712"/>
      <c r="AD32" s="712"/>
      <c r="AE32" s="712"/>
      <c r="AF32" s="712"/>
      <c r="AG32" s="712"/>
      <c r="AH32" s="713"/>
    </row>
    <row r="33" spans="1:34">
      <c r="A33" s="598"/>
      <c r="B33" s="600"/>
      <c r="C33" s="598"/>
      <c r="D33" s="598"/>
      <c r="E33" s="598"/>
      <c r="F33" s="598"/>
      <c r="G33" s="598"/>
      <c r="H33" s="598"/>
      <c r="I33" s="598"/>
      <c r="J33" s="598"/>
      <c r="K33" s="598"/>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row>
    <row r="34" spans="1:34" ht="18" customHeight="1"/>
    <row r="35" spans="1:34" ht="18" customHeight="1"/>
    <row r="36" spans="1:34" ht="18" hidden="1" customHeight="1" thickBot="1">
      <c r="A36" s="732" t="s">
        <v>905</v>
      </c>
      <c r="B36" s="732" t="s">
        <v>906</v>
      </c>
      <c r="C36" s="732" t="s">
        <v>907</v>
      </c>
      <c r="D36" s="732" t="s">
        <v>908</v>
      </c>
      <c r="E36" s="732" t="s">
        <v>909</v>
      </c>
      <c r="F36" s="732" t="s">
        <v>994</v>
      </c>
      <c r="G36" s="732" t="s">
        <v>995</v>
      </c>
      <c r="H36" s="734" t="s">
        <v>910</v>
      </c>
      <c r="I36" s="734" t="s">
        <v>996</v>
      </c>
      <c r="J36" s="732" t="s">
        <v>997</v>
      </c>
      <c r="K36" s="733" t="s">
        <v>889</v>
      </c>
      <c r="L36" s="734" t="s">
        <v>890</v>
      </c>
      <c r="M36" s="735" t="s">
        <v>891</v>
      </c>
      <c r="N36" s="733" t="s">
        <v>892</v>
      </c>
      <c r="O36" s="733" t="s">
        <v>893</v>
      </c>
      <c r="P36" s="733" t="s">
        <v>894</v>
      </c>
      <c r="Q36" s="733" t="s">
        <v>998</v>
      </c>
      <c r="R36" s="733" t="s">
        <v>895</v>
      </c>
    </row>
    <row r="37" spans="1:34" ht="18" hidden="1" customHeight="1" thickTop="1">
      <c r="A37" s="736" t="s">
        <v>920</v>
      </c>
      <c r="B37" s="736" t="s">
        <v>906</v>
      </c>
      <c r="C37" s="736" t="s">
        <v>921</v>
      </c>
      <c r="D37" s="738" t="s">
        <v>922</v>
      </c>
      <c r="E37" s="744" t="s">
        <v>923</v>
      </c>
      <c r="F37" s="736" t="s">
        <v>924</v>
      </c>
      <c r="G37" s="736" t="s">
        <v>925</v>
      </c>
      <c r="H37" s="738" t="s">
        <v>926</v>
      </c>
      <c r="I37" s="738" t="s">
        <v>927</v>
      </c>
      <c r="J37" s="736" t="s">
        <v>896</v>
      </c>
      <c r="K37" s="737" t="s">
        <v>897</v>
      </c>
      <c r="L37" s="738" t="s">
        <v>898</v>
      </c>
      <c r="M37" s="739" t="s">
        <v>899</v>
      </c>
      <c r="N37" s="737" t="s">
        <v>900</v>
      </c>
      <c r="O37" s="737" t="s">
        <v>901</v>
      </c>
      <c r="P37" s="737" t="s">
        <v>902</v>
      </c>
      <c r="Q37" s="737" t="s">
        <v>903</v>
      </c>
      <c r="R37" s="737" t="s">
        <v>904</v>
      </c>
    </row>
    <row r="38" spans="1:34" ht="18" hidden="1" customHeight="1">
      <c r="A38" s="740" t="s">
        <v>935</v>
      </c>
      <c r="B38" s="742" t="s">
        <v>936</v>
      </c>
      <c r="D38" s="742" t="s">
        <v>937</v>
      </c>
      <c r="E38" s="746" t="s">
        <v>938</v>
      </c>
      <c r="F38" s="740" t="s">
        <v>939</v>
      </c>
      <c r="G38" s="740" t="s">
        <v>940</v>
      </c>
      <c r="H38" s="742" t="s">
        <v>941</v>
      </c>
      <c r="I38" s="742" t="s">
        <v>942</v>
      </c>
      <c r="J38" s="740" t="s">
        <v>911</v>
      </c>
      <c r="K38" s="741" t="s">
        <v>912</v>
      </c>
      <c r="L38" s="742" t="s">
        <v>913</v>
      </c>
      <c r="M38" s="743" t="s">
        <v>914</v>
      </c>
      <c r="N38" s="741" t="s">
        <v>915</v>
      </c>
      <c r="O38" s="741" t="s">
        <v>916</v>
      </c>
      <c r="P38" s="741" t="s">
        <v>917</v>
      </c>
      <c r="Q38" s="741" t="s">
        <v>918</v>
      </c>
      <c r="R38" s="741" t="s">
        <v>919</v>
      </c>
    </row>
    <row r="39" spans="1:34" ht="18" hidden="1" customHeight="1">
      <c r="D39" s="742" t="s">
        <v>946</v>
      </c>
      <c r="E39" s="746" t="s">
        <v>947</v>
      </c>
      <c r="F39" s="740" t="s">
        <v>948</v>
      </c>
      <c r="G39" s="742" t="s">
        <v>949</v>
      </c>
      <c r="H39" s="742" t="s">
        <v>950</v>
      </c>
      <c r="I39" s="742" t="s">
        <v>951</v>
      </c>
      <c r="J39" s="742" t="s">
        <v>928</v>
      </c>
      <c r="K39" s="741" t="s">
        <v>929</v>
      </c>
      <c r="L39" s="742" t="s">
        <v>930</v>
      </c>
      <c r="M39" s="745" t="s">
        <v>931</v>
      </c>
      <c r="N39" s="741" t="s">
        <v>932</v>
      </c>
      <c r="P39" s="742" t="s">
        <v>933</v>
      </c>
      <c r="R39" s="741" t="s">
        <v>934</v>
      </c>
    </row>
    <row r="40" spans="1:34" ht="18" hidden="1" customHeight="1">
      <c r="E40" s="746" t="s">
        <v>954</v>
      </c>
      <c r="F40" s="740" t="s">
        <v>955</v>
      </c>
      <c r="G40" s="742" t="s">
        <v>956</v>
      </c>
      <c r="H40" s="742" t="s">
        <v>957</v>
      </c>
      <c r="I40" s="742" t="s">
        <v>958</v>
      </c>
      <c r="J40" s="742" t="s">
        <v>943</v>
      </c>
      <c r="L40" s="742" t="s">
        <v>944</v>
      </c>
      <c r="R40" s="742" t="s">
        <v>945</v>
      </c>
    </row>
    <row r="41" spans="1:34" ht="18" hidden="1" customHeight="1">
      <c r="E41" s="746" t="s">
        <v>960</v>
      </c>
      <c r="G41" s="742" t="s">
        <v>961</v>
      </c>
      <c r="H41" s="742" t="s">
        <v>962</v>
      </c>
      <c r="I41" s="742" t="s">
        <v>963</v>
      </c>
      <c r="J41" s="742" t="s">
        <v>952</v>
      </c>
      <c r="R41" s="742" t="s">
        <v>953</v>
      </c>
    </row>
    <row r="42" spans="1:34" ht="18" hidden="1" customHeight="1">
      <c r="E42" s="746" t="s">
        <v>964</v>
      </c>
      <c r="H42" s="742" t="s">
        <v>965</v>
      </c>
      <c r="I42" s="742" t="s">
        <v>966</v>
      </c>
      <c r="J42" s="740" t="s">
        <v>959</v>
      </c>
    </row>
    <row r="43" spans="1:34" ht="18" hidden="1" customHeight="1">
      <c r="E43" s="746" t="s">
        <v>967</v>
      </c>
      <c r="H43" s="742" t="s">
        <v>968</v>
      </c>
      <c r="I43" s="742" t="s">
        <v>969</v>
      </c>
    </row>
    <row r="44" spans="1:34" ht="18" hidden="1" customHeight="1">
      <c r="E44" s="746" t="s">
        <v>970</v>
      </c>
      <c r="H44" s="742" t="s">
        <v>971</v>
      </c>
      <c r="I44" s="742" t="s">
        <v>972</v>
      </c>
    </row>
    <row r="45" spans="1:34" ht="66.5" hidden="1">
      <c r="E45" s="746" t="s">
        <v>973</v>
      </c>
      <c r="I45" s="742" t="s">
        <v>974</v>
      </c>
    </row>
    <row r="46" spans="1:34" ht="66.5" hidden="1">
      <c r="E46" s="746" t="s">
        <v>975</v>
      </c>
      <c r="I46" s="742" t="s">
        <v>976</v>
      </c>
    </row>
    <row r="47" spans="1:34" ht="66.5" hidden="1">
      <c r="E47" s="746" t="s">
        <v>977</v>
      </c>
      <c r="I47" s="742" t="s">
        <v>978</v>
      </c>
    </row>
    <row r="48" spans="1:34" ht="57" hidden="1">
      <c r="E48" s="746" t="s">
        <v>979</v>
      </c>
      <c r="I48" s="742" t="s">
        <v>980</v>
      </c>
    </row>
    <row r="49" spans="1:5" hidden="1">
      <c r="E49" s="746" t="s">
        <v>981</v>
      </c>
    </row>
    <row r="50" spans="1:5" hidden="1">
      <c r="E50" s="746" t="s">
        <v>982</v>
      </c>
    </row>
    <row r="51" spans="1:5" ht="20.149999999999999" hidden="1" customHeight="1">
      <c r="E51" s="746" t="s">
        <v>983</v>
      </c>
    </row>
    <row r="52" spans="1:5" ht="20.149999999999999" hidden="1" customHeight="1">
      <c r="E52" s="746" t="s">
        <v>984</v>
      </c>
    </row>
    <row r="53" spans="1:5" ht="20.149999999999999" hidden="1" customHeight="1">
      <c r="E53" s="746" t="s">
        <v>985</v>
      </c>
    </row>
    <row r="54" spans="1:5" ht="20.149999999999999" hidden="1" customHeight="1">
      <c r="E54" s="746" t="s">
        <v>986</v>
      </c>
    </row>
    <row r="55" spans="1:5" ht="20.149999999999999" hidden="1" customHeight="1">
      <c r="E55" s="746" t="s">
        <v>987</v>
      </c>
    </row>
    <row r="56" spans="1:5" hidden="1">
      <c r="E56" s="746" t="s">
        <v>988</v>
      </c>
    </row>
    <row r="57" spans="1:5" hidden="1">
      <c r="E57" s="746" t="s">
        <v>989</v>
      </c>
    </row>
    <row r="58" spans="1:5" ht="13.5" hidden="1" customHeight="1">
      <c r="E58" s="746" t="s">
        <v>990</v>
      </c>
    </row>
    <row r="59" spans="1:5" ht="25" hidden="1" customHeight="1">
      <c r="E59" s="746" t="s">
        <v>991</v>
      </c>
    </row>
    <row r="60" spans="1:5" hidden="1">
      <c r="E60" s="746" t="s">
        <v>992</v>
      </c>
    </row>
    <row r="62" spans="1:5" hidden="1">
      <c r="A62" s="592" t="s">
        <v>1003</v>
      </c>
    </row>
    <row r="63" spans="1:5" hidden="1">
      <c r="A63" s="592" t="s">
        <v>1004</v>
      </c>
    </row>
    <row r="68" spans="3:34">
      <c r="C68" s="1231" t="s">
        <v>1074</v>
      </c>
      <c r="D68" s="1231"/>
      <c r="E68" s="1231"/>
      <c r="F68" s="1231"/>
      <c r="G68" s="1231"/>
      <c r="H68" s="1231"/>
      <c r="I68" s="1231"/>
      <c r="J68" s="1231"/>
      <c r="K68" s="1231"/>
      <c r="L68" s="1231"/>
      <c r="M68" s="1231"/>
      <c r="N68" s="1231"/>
      <c r="O68" s="1231"/>
      <c r="P68" s="1231"/>
      <c r="Q68" s="1231"/>
      <c r="R68" s="1231"/>
      <c r="S68" s="1231"/>
      <c r="T68" s="1231"/>
      <c r="U68" s="1231"/>
      <c r="V68" s="1231"/>
      <c r="W68" s="1231"/>
      <c r="X68" s="1231"/>
      <c r="Y68" s="1231"/>
      <c r="Z68" s="1231"/>
      <c r="AA68" s="1231"/>
    </row>
    <row r="69" spans="3:34">
      <c r="C69" s="1230" t="s">
        <v>1061</v>
      </c>
      <c r="D69" s="1230"/>
      <c r="E69" s="1230"/>
      <c r="F69" s="1230"/>
      <c r="G69" s="1230"/>
      <c r="H69" s="1230"/>
      <c r="I69" s="1230"/>
      <c r="J69" s="1230"/>
      <c r="K69" s="1230"/>
      <c r="L69" s="1230"/>
      <c r="M69" s="1230"/>
      <c r="N69" s="1230"/>
      <c r="O69" s="1230"/>
      <c r="P69" s="1230"/>
      <c r="Q69" s="1230"/>
      <c r="R69" s="1230"/>
      <c r="S69" s="1230"/>
      <c r="T69" s="1230"/>
      <c r="U69" s="1230"/>
      <c r="V69" s="1230"/>
      <c r="W69" s="1230"/>
      <c r="X69" s="1230"/>
      <c r="Y69" s="1230"/>
      <c r="Z69" s="1230"/>
      <c r="AA69" s="1230"/>
      <c r="AB69" s="1230"/>
      <c r="AC69" s="1230"/>
      <c r="AD69" s="1230"/>
      <c r="AE69" s="1230"/>
      <c r="AF69" s="1230"/>
      <c r="AG69" s="1230"/>
      <c r="AH69" s="1230"/>
    </row>
    <row r="70" spans="3:34">
      <c r="C70" s="1230"/>
      <c r="D70" s="1230"/>
      <c r="E70" s="1230"/>
      <c r="F70" s="1230"/>
      <c r="G70" s="1230"/>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row>
    <row r="71" spans="3:34" ht="13.5" thickBot="1">
      <c r="C71" s="794" t="s">
        <v>1042</v>
      </c>
      <c r="D71" s="794" t="s">
        <v>1049</v>
      </c>
      <c r="E71" s="794" t="s">
        <v>1043</v>
      </c>
      <c r="F71" s="794" t="s">
        <v>1044</v>
      </c>
      <c r="G71" s="794" t="s">
        <v>1045</v>
      </c>
      <c r="H71" s="794" t="s">
        <v>1046</v>
      </c>
      <c r="I71" s="794" t="s">
        <v>1047</v>
      </c>
      <c r="J71" s="794" t="s">
        <v>1048</v>
      </c>
      <c r="K71" s="794" t="s">
        <v>1050</v>
      </c>
      <c r="L71" s="794" t="s">
        <v>1051</v>
      </c>
      <c r="M71" s="794" t="s">
        <v>1052</v>
      </c>
      <c r="N71" s="794" t="s">
        <v>1053</v>
      </c>
      <c r="O71" s="794" t="s">
        <v>1054</v>
      </c>
      <c r="P71" s="794" t="s">
        <v>1055</v>
      </c>
      <c r="Q71" s="794" t="s">
        <v>1056</v>
      </c>
      <c r="R71" s="794" t="s">
        <v>1057</v>
      </c>
      <c r="S71" s="794" t="s">
        <v>1058</v>
      </c>
      <c r="T71" s="794" t="s">
        <v>1059</v>
      </c>
      <c r="U71" s="794" t="s">
        <v>1059</v>
      </c>
      <c r="V71" s="592" t="s">
        <v>1062</v>
      </c>
    </row>
    <row r="72" spans="3:34" ht="13.5" thickTop="1">
      <c r="C72" s="795">
        <f>J5</f>
        <v>0</v>
      </c>
      <c r="D72" s="795" t="str">
        <f>IF(J25="","","○")</f>
        <v/>
      </c>
      <c r="E72" s="795">
        <f>J12</f>
        <v>0</v>
      </c>
      <c r="F72" s="795" t="str">
        <f>入力!D10</f>
        <v>狭山市</v>
      </c>
      <c r="G72" s="795" t="str">
        <f>IF(N8="選択して下さい","",N8)</f>
        <v/>
      </c>
      <c r="H72" s="795" t="str">
        <f>IF(N9="選択して下さい","",N9)</f>
        <v/>
      </c>
      <c r="I72" s="796">
        <f>X16</f>
        <v>0</v>
      </c>
      <c r="J72" s="795"/>
      <c r="K72" s="795" t="str">
        <f>IF(②!$F$7="選択して下さい","",②!$F$7)</f>
        <v/>
      </c>
      <c r="L72" s="795" t="str">
        <f>IF(②!$P$7="選択して下さい","",②!$P$7)</f>
        <v/>
      </c>
      <c r="M72" s="795" t="str">
        <f>IF(②!$Z$7="選択して下さい","",②!$Z$7)</f>
        <v/>
      </c>
      <c r="N72" s="795" t="str">
        <f>IF(②!$E$34="○","○","")</f>
        <v/>
      </c>
      <c r="O72" s="795" t="str">
        <f>IF(②!$E$36="○","○","")</f>
        <v/>
      </c>
      <c r="P72" s="795" t="str">
        <f>IF(②!$E$38="○","○","")</f>
        <v/>
      </c>
      <c r="Q72" s="795" t="str">
        <f>IF(②!$E$40="○","○","")</f>
        <v/>
      </c>
      <c r="R72" s="795" t="str">
        <f>IF(②!$E$4="選択して下さい","",②!$E$4)</f>
        <v/>
      </c>
      <c r="S72" s="795">
        <f>②!$Y$46</f>
        <v>0</v>
      </c>
      <c r="T72" s="795">
        <f>②!$Y$48</f>
        <v>0</v>
      </c>
      <c r="U72" s="795"/>
      <c r="V72" s="797"/>
    </row>
    <row r="74" spans="3:34" ht="13.5" thickBot="1">
      <c r="C74" s="794" t="s">
        <v>1063</v>
      </c>
      <c r="D74" s="794" t="s">
        <v>1064</v>
      </c>
      <c r="E74" s="794" t="s">
        <v>1065</v>
      </c>
      <c r="F74" s="592" t="s">
        <v>1066</v>
      </c>
    </row>
    <row r="75" spans="3:34" ht="13.5" thickTop="1">
      <c r="C75" s="795">
        <f>③!$AD$34/1000</f>
        <v>0</v>
      </c>
      <c r="D75" s="795">
        <f>③!$AD$19/1000</f>
        <v>0</v>
      </c>
      <c r="E75" s="795">
        <f>③!$W$43/1000</f>
        <v>0</v>
      </c>
    </row>
    <row r="77" spans="3:34" ht="13.5" thickBot="1">
      <c r="C77" s="794" t="s">
        <v>1067</v>
      </c>
      <c r="D77" s="794" t="s">
        <v>1068</v>
      </c>
      <c r="E77" s="794" t="s">
        <v>1069</v>
      </c>
      <c r="F77" s="794" t="s">
        <v>1070</v>
      </c>
      <c r="G77" s="794" t="s">
        <v>1071</v>
      </c>
      <c r="H77" s="794" t="s">
        <v>1072</v>
      </c>
      <c r="I77" s="592" t="s">
        <v>1073</v>
      </c>
    </row>
    <row r="78" spans="3:34" ht="13.5" thickTop="1">
      <c r="C78" s="795">
        <f>$L$13</f>
        <v>0</v>
      </c>
      <c r="D78" s="795">
        <f>$J$14</f>
        <v>0</v>
      </c>
      <c r="E78" s="795">
        <f>$H$17</f>
        <v>0</v>
      </c>
      <c r="F78" s="795">
        <f>$H$18</f>
        <v>0</v>
      </c>
      <c r="G78" s="795">
        <f>$H$19</f>
        <v>0</v>
      </c>
      <c r="H78" s="795">
        <f>$V$19</f>
        <v>0</v>
      </c>
    </row>
  </sheetData>
  <sheetProtection algorithmName="SHA-512" hashValue="I9aM7JpVFvuDQfh4OnUEUN180+Xc6X0Kosy/h75QmoA1dWbQVgBuHKDmmO7MMnaQMyIyOvKP0JUO8YtUvJ2SLA==" saltValue="MuvEs/PRo5SwjQRWK0acSQ==" spinCount="100000" sheet="1" objects="1" formatCells="0"/>
  <mergeCells count="83">
    <mergeCell ref="C69:AH70"/>
    <mergeCell ref="C68:AA68"/>
    <mergeCell ref="E27:I27"/>
    <mergeCell ref="J27:AH27"/>
    <mergeCell ref="N9:AH9"/>
    <mergeCell ref="A28:D31"/>
    <mergeCell ref="E28:G28"/>
    <mergeCell ref="E29:G29"/>
    <mergeCell ref="E30:G30"/>
    <mergeCell ref="E31:I31"/>
    <mergeCell ref="J31:AH31"/>
    <mergeCell ref="H28:R28"/>
    <mergeCell ref="S28:U28"/>
    <mergeCell ref="V28:AH28"/>
    <mergeCell ref="H29:R29"/>
    <mergeCell ref="S29:U29"/>
    <mergeCell ref="V29:AH29"/>
    <mergeCell ref="H30:R30"/>
    <mergeCell ref="S30:U30"/>
    <mergeCell ref="V30:AH30"/>
    <mergeCell ref="A25:D27"/>
    <mergeCell ref="E25:I25"/>
    <mergeCell ref="J25:AH25"/>
    <mergeCell ref="E26:I26"/>
    <mergeCell ref="J26:AH26"/>
    <mergeCell ref="A17:D21"/>
    <mergeCell ref="E17:G17"/>
    <mergeCell ref="H17:R17"/>
    <mergeCell ref="S17:U17"/>
    <mergeCell ref="V17:AH17"/>
    <mergeCell ref="E18:G18"/>
    <mergeCell ref="H18:R18"/>
    <mergeCell ref="S18:U18"/>
    <mergeCell ref="V18:AH18"/>
    <mergeCell ref="E19:G19"/>
    <mergeCell ref="H19:R19"/>
    <mergeCell ref="S19:U19"/>
    <mergeCell ref="V19:AH19"/>
    <mergeCell ref="J21:AH21"/>
    <mergeCell ref="E20:I21"/>
    <mergeCell ref="J20:K20"/>
    <mergeCell ref="L20:T20"/>
    <mergeCell ref="U20:AH20"/>
    <mergeCell ref="A12:D16"/>
    <mergeCell ref="E12:I12"/>
    <mergeCell ref="J14:AH14"/>
    <mergeCell ref="E15:K16"/>
    <mergeCell ref="X16:AC16"/>
    <mergeCell ref="L15:Q15"/>
    <mergeCell ref="R15:W15"/>
    <mergeCell ref="X15:AC15"/>
    <mergeCell ref="L16:Q16"/>
    <mergeCell ref="R16:W16"/>
    <mergeCell ref="J12:AH12"/>
    <mergeCell ref="AD15:AH16"/>
    <mergeCell ref="E13:I14"/>
    <mergeCell ref="J13:K13"/>
    <mergeCell ref="L13:T13"/>
    <mergeCell ref="U13:AH13"/>
    <mergeCell ref="A1:AH1"/>
    <mergeCell ref="E5:I5"/>
    <mergeCell ref="J5:AH5"/>
    <mergeCell ref="E6:I6"/>
    <mergeCell ref="E7:I7"/>
    <mergeCell ref="J7:AH7"/>
    <mergeCell ref="J6:M6"/>
    <mergeCell ref="U6:X6"/>
    <mergeCell ref="Y6:AH6"/>
    <mergeCell ref="N6:T6"/>
    <mergeCell ref="A5:D11"/>
    <mergeCell ref="J11:AH11"/>
    <mergeCell ref="E11:I11"/>
    <mergeCell ref="A4:AH4"/>
    <mergeCell ref="AE10:AH10"/>
    <mergeCell ref="E8:I9"/>
    <mergeCell ref="J8:M8"/>
    <mergeCell ref="J9:M9"/>
    <mergeCell ref="N8:AH8"/>
    <mergeCell ref="E10:I10"/>
    <mergeCell ref="J10:N10"/>
    <mergeCell ref="P10:T10"/>
    <mergeCell ref="U10:X10"/>
    <mergeCell ref="Z10:AD10"/>
  </mergeCells>
  <phoneticPr fontId="2"/>
  <conditionalFormatting sqref="J5:AH5 J7:AH7 J6 N6 Y6 U6">
    <cfRule type="containsBlanks" dxfId="46" priority="29">
      <formula>LEN(TRIM(J5))=0</formula>
    </cfRule>
  </conditionalFormatting>
  <conditionalFormatting sqref="J12:AH12 J14:AH14 J13 L13">
    <cfRule type="containsBlanks" dxfId="45" priority="25">
      <formula>LEN(TRIM(J12))=0</formula>
    </cfRule>
  </conditionalFormatting>
  <conditionalFormatting sqref="H17:R19">
    <cfRule type="containsBlanks" dxfId="44" priority="23">
      <formula>LEN(TRIM(H17))=0</formula>
    </cfRule>
  </conditionalFormatting>
  <conditionalFormatting sqref="J25:AH26">
    <cfRule type="containsBlanks" dxfId="43" priority="19">
      <formula>LEN(TRIM(J25))=0</formula>
    </cfRule>
  </conditionalFormatting>
  <conditionalFormatting sqref="J27:AH27">
    <cfRule type="containsBlanks" dxfId="42" priority="18">
      <formula>LEN(TRIM(J27))=0</formula>
    </cfRule>
  </conditionalFormatting>
  <conditionalFormatting sqref="H28:R30">
    <cfRule type="containsBlanks" dxfId="41" priority="17">
      <formula>LEN(TRIM(H28))=0</formula>
    </cfRule>
  </conditionalFormatting>
  <conditionalFormatting sqref="V28">
    <cfRule type="containsBlanks" dxfId="40" priority="16">
      <formula>LEN(TRIM(V28))=0</formula>
    </cfRule>
  </conditionalFormatting>
  <conditionalFormatting sqref="J31:AH31">
    <cfRule type="containsBlanks" dxfId="39" priority="15">
      <formula>LEN(TRIM(J31))=0</formula>
    </cfRule>
  </conditionalFormatting>
  <conditionalFormatting sqref="V17:AH17">
    <cfRule type="containsBlanks" dxfId="38" priority="9">
      <formula>LEN(TRIM(V17))=0</formula>
    </cfRule>
  </conditionalFormatting>
  <conditionalFormatting sqref="V19:AH19">
    <cfRule type="containsBlanks" dxfId="37" priority="8">
      <formula>LEN(TRIM(V19))=0</formula>
    </cfRule>
  </conditionalFormatting>
  <conditionalFormatting sqref="V30:AH30">
    <cfRule type="containsBlanks" dxfId="36" priority="7">
      <formula>LEN(TRIM(V30))=0</formula>
    </cfRule>
  </conditionalFormatting>
  <conditionalFormatting sqref="AE10:AH10 U10:X10 J10:N10">
    <cfRule type="containsBlanks" dxfId="35" priority="5">
      <formula>LEN(TRIM(J10))=0</formula>
    </cfRule>
  </conditionalFormatting>
  <conditionalFormatting sqref="N8:N9 AE10">
    <cfRule type="cellIs" dxfId="34" priority="4" operator="equal">
      <formula>"選択して下さい"</formula>
    </cfRule>
  </conditionalFormatting>
  <conditionalFormatting sqref="J20 L20">
    <cfRule type="containsBlanks" dxfId="33" priority="3">
      <formula>LEN(TRIM(J20))=0</formula>
    </cfRule>
  </conditionalFormatting>
  <conditionalFormatting sqref="J21:AH21">
    <cfRule type="containsBlanks" dxfId="32" priority="2">
      <formula>LEN(TRIM(J21))=0</formula>
    </cfRule>
  </conditionalFormatting>
  <conditionalFormatting sqref="J11">
    <cfRule type="containsBlanks" dxfId="31" priority="1">
      <formula>LEN(TRIM(J11))=0</formula>
    </cfRule>
  </conditionalFormatting>
  <dataValidations disablePrompts="1" count="3">
    <dataValidation type="list" allowBlank="1" showInputMessage="1" showErrorMessage="1" sqref="N8:AH8" xr:uid="{00000000-0002-0000-0100-000000000000}">
      <formula1>大分類</formula1>
    </dataValidation>
    <dataValidation type="list" allowBlank="1" showInputMessage="1" showErrorMessage="1" sqref="N9:AH9" xr:uid="{00000000-0002-0000-0100-000001000000}">
      <formula1>INDIRECT($N$8)</formula1>
    </dataValidation>
    <dataValidation type="list" allowBlank="1" showInputMessage="1" showErrorMessage="1" sqref="AE10:AH10" xr:uid="{00000000-0002-0000-0100-000002000000}">
      <formula1>"有,無"</formula1>
    </dataValidation>
  </dataValidations>
  <printOptions horizontalCentered="1"/>
  <pageMargins left="0.59055118110236227" right="0.59055118110236227" top="0.59055118110236227" bottom="0.59055118110236227" header="0.19685039370078741" footer="0.19685039370078741"/>
  <pageSetup paperSize="9" scale="98" orientation="portrait" r:id="rId1"/>
  <headerFooter>
    <oddHeader>&amp;L&amp;"ＭＳ ゴシック,標準"様式第２―４号（第８条関係）</oddHead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C77C6-F01F-41D0-8BB1-17D8F4BF7FA5}">
  <sheetPr codeName="Sheet22">
    <tabColor rgb="FFFFFF00"/>
  </sheetPr>
  <dimension ref="B1:AD63"/>
  <sheetViews>
    <sheetView topLeftCell="G16" workbookViewId="0">
      <selection activeCell="C67" sqref="C67"/>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7">
      <c r="B1" s="156">
        <f>温度条件他根拠!D6</f>
        <v>1</v>
      </c>
      <c r="C1" s="157"/>
      <c r="D1" s="705" t="str">
        <f ca="1">RIGHT(CELL("filename",D1),LEN(CELL("filename",D1))-FIND("]",CELL("filename",D1)))</f>
        <v>さいたま市屋根断熱</v>
      </c>
      <c r="F1" s="81"/>
      <c r="G1" s="81"/>
      <c r="H1" s="81"/>
      <c r="I1" s="81"/>
      <c r="J1" s="81"/>
      <c r="K1" s="81"/>
      <c r="L1" s="81"/>
      <c r="M1" s="81"/>
      <c r="N1" s="81"/>
      <c r="O1" s="81"/>
    </row>
    <row r="2" spans="2:17">
      <c r="B2" s="817"/>
      <c r="C2" s="818"/>
      <c r="D2" s="817"/>
      <c r="E2" s="819"/>
      <c r="F2" s="818"/>
      <c r="G2" s="818"/>
      <c r="H2" s="818"/>
      <c r="I2" s="81"/>
      <c r="J2" s="81"/>
      <c r="K2" s="81"/>
      <c r="L2" s="81"/>
      <c r="M2" s="81"/>
      <c r="N2" s="81"/>
      <c r="O2" s="81"/>
    </row>
    <row r="3" spans="2:17">
      <c r="B3" s="817"/>
      <c r="C3" s="818"/>
      <c r="D3" s="817"/>
      <c r="E3" s="819"/>
      <c r="F3" s="818"/>
      <c r="G3" s="818"/>
      <c r="H3" s="818"/>
      <c r="I3" s="81"/>
      <c r="J3" s="81"/>
      <c r="K3" s="81"/>
      <c r="L3" s="81"/>
      <c r="M3" s="81"/>
      <c r="N3" s="81"/>
      <c r="O3" s="81"/>
    </row>
    <row r="4" spans="2:17">
      <c r="B4" s="820" t="s">
        <v>1093</v>
      </c>
      <c r="C4" s="821"/>
      <c r="D4" s="822"/>
      <c r="E4" s="823"/>
      <c r="F4" s="821"/>
      <c r="G4" s="821"/>
      <c r="H4" s="821"/>
      <c r="I4" s="824"/>
      <c r="J4" s="824"/>
      <c r="K4" s="824"/>
      <c r="L4" s="824"/>
      <c r="M4" s="824"/>
      <c r="N4" s="824"/>
      <c r="O4" s="897"/>
      <c r="P4" s="897"/>
    </row>
    <row r="5" spans="2:17">
      <c r="B5" s="2065" t="s">
        <v>1094</v>
      </c>
      <c r="C5" s="2065"/>
      <c r="D5" s="2065" t="s">
        <v>1095</v>
      </c>
      <c r="E5" s="2065"/>
      <c r="F5" s="2065"/>
      <c r="G5" s="2066" t="s">
        <v>1096</v>
      </c>
      <c r="H5" s="2065" t="s">
        <v>1097</v>
      </c>
      <c r="I5" s="2065"/>
      <c r="J5" s="2065"/>
      <c r="K5" s="2065"/>
      <c r="L5" s="2065"/>
      <c r="M5" s="2065"/>
      <c r="N5" s="2065"/>
      <c r="O5" s="897"/>
      <c r="P5" s="897"/>
    </row>
    <row r="6" spans="2:17">
      <c r="B6" s="2065"/>
      <c r="C6" s="2065"/>
      <c r="D6" s="825" t="s">
        <v>1098</v>
      </c>
      <c r="E6" s="825" t="s">
        <v>1099</v>
      </c>
      <c r="F6" s="825" t="s">
        <v>1100</v>
      </c>
      <c r="G6" s="2065"/>
      <c r="H6" s="2065"/>
      <c r="I6" s="2065"/>
      <c r="J6" s="2065"/>
      <c r="K6" s="2065"/>
      <c r="L6" s="2065"/>
      <c r="M6" s="2065"/>
      <c r="N6" s="2065"/>
      <c r="O6" s="897"/>
      <c r="P6" s="897"/>
    </row>
    <row r="7" spans="2:17">
      <c r="B7" s="826" t="s">
        <v>1101</v>
      </c>
      <c r="C7" s="827" t="s">
        <v>1102</v>
      </c>
      <c r="D7" s="828">
        <f>結果!H30</f>
        <v>0</v>
      </c>
      <c r="E7" s="828">
        <f>結果!J30</f>
        <v>0</v>
      </c>
      <c r="F7" s="828">
        <f>結果!L30</f>
        <v>0</v>
      </c>
      <c r="G7" s="828">
        <f>結果!Q30</f>
        <v>0</v>
      </c>
      <c r="H7" s="2067" t="s">
        <v>1158</v>
      </c>
      <c r="I7" s="2067"/>
      <c r="J7" s="2067"/>
      <c r="K7" s="2067"/>
      <c r="L7" s="2067"/>
      <c r="M7" s="2067"/>
      <c r="N7" s="2067"/>
      <c r="O7" s="897"/>
      <c r="P7" s="897"/>
    </row>
    <row r="8" spans="2:17">
      <c r="B8" s="826" t="s">
        <v>1386</v>
      </c>
      <c r="C8" s="1008"/>
      <c r="D8" s="1005"/>
      <c r="E8" s="1006">
        <f>MAX(D7:F7)</f>
        <v>0</v>
      </c>
      <c r="F8" s="1002"/>
      <c r="G8" s="1002">
        <f>G7</f>
        <v>0</v>
      </c>
      <c r="H8" s="2067"/>
      <c r="I8" s="2067"/>
      <c r="J8" s="2067"/>
      <c r="K8" s="2067"/>
      <c r="L8" s="2067"/>
      <c r="M8" s="2067"/>
      <c r="N8" s="2067"/>
      <c r="O8" s="897"/>
      <c r="P8" s="897"/>
    </row>
    <row r="9" spans="2:17">
      <c r="B9" s="826" t="s">
        <v>1104</v>
      </c>
      <c r="C9" s="827" t="s">
        <v>1105</v>
      </c>
      <c r="D9" s="828">
        <f>結果!H70</f>
        <v>0</v>
      </c>
      <c r="E9" s="828">
        <f>結果!J70</f>
        <v>0</v>
      </c>
      <c r="F9" s="828">
        <f>結果!L70</f>
        <v>0</v>
      </c>
      <c r="G9" s="829">
        <f>結果!Q70</f>
        <v>0</v>
      </c>
      <c r="H9" s="2067"/>
      <c r="I9" s="2067"/>
      <c r="J9" s="2067"/>
      <c r="K9" s="2067"/>
      <c r="L9" s="2067"/>
      <c r="M9" s="2067"/>
      <c r="N9" s="2067"/>
      <c r="O9" s="897"/>
      <c r="P9" s="897"/>
    </row>
    <row r="10" spans="2:17">
      <c r="B10" s="826" t="s">
        <v>1106</v>
      </c>
      <c r="C10" s="827" t="s">
        <v>1107</v>
      </c>
      <c r="D10" s="829">
        <f>D7-D9</f>
        <v>0</v>
      </c>
      <c r="E10" s="829">
        <f t="shared" ref="E10:G10" si="0">E7-E9</f>
        <v>0</v>
      </c>
      <c r="F10" s="829">
        <f t="shared" si="0"/>
        <v>0</v>
      </c>
      <c r="G10" s="829">
        <f t="shared" si="0"/>
        <v>0</v>
      </c>
      <c r="H10" s="2067"/>
      <c r="I10" s="2067"/>
      <c r="J10" s="2067"/>
      <c r="K10" s="2067"/>
      <c r="L10" s="2067"/>
      <c r="M10" s="2067"/>
      <c r="N10" s="2067"/>
      <c r="O10" s="897"/>
      <c r="P10" s="897"/>
    </row>
    <row r="11" spans="2:17" ht="36">
      <c r="B11" s="989" t="s">
        <v>1385</v>
      </c>
      <c r="C11" s="830" t="s">
        <v>1108</v>
      </c>
      <c r="D11" s="2068">
        <f>MAX(D10:F10)</f>
        <v>0</v>
      </c>
      <c r="E11" s="2068"/>
      <c r="F11" s="2068"/>
      <c r="G11" s="829">
        <f>MAX(G10)</f>
        <v>0</v>
      </c>
      <c r="H11" s="2067" t="s">
        <v>1109</v>
      </c>
      <c r="I11" s="2067"/>
      <c r="J11" s="2067"/>
      <c r="K11" s="2067"/>
      <c r="L11" s="2067"/>
      <c r="M11" s="2067"/>
      <c r="N11" s="2067"/>
      <c r="O11" s="897"/>
      <c r="P11" s="897"/>
    </row>
    <row r="12" spans="2:17" ht="24" customHeight="1">
      <c r="B12" s="830" t="s">
        <v>1110</v>
      </c>
      <c r="C12" s="830" t="s">
        <v>1141</v>
      </c>
      <c r="D12" s="2068">
        <f>温度条件他根拠!E29</f>
        <v>0</v>
      </c>
      <c r="E12" s="2068"/>
      <c r="F12" s="2068"/>
      <c r="G12" s="829">
        <f>D12</f>
        <v>0</v>
      </c>
      <c r="H12" s="2075" t="s">
        <v>1135</v>
      </c>
      <c r="I12" s="2075"/>
      <c r="J12" s="2075"/>
      <c r="K12" s="2075"/>
      <c r="L12" s="2075"/>
      <c r="M12" s="2075"/>
      <c r="N12" s="2075"/>
      <c r="O12" s="897"/>
      <c r="P12" s="897"/>
    </row>
    <row r="13" spans="2:17" ht="60">
      <c r="B13" s="830" t="s">
        <v>1113</v>
      </c>
      <c r="C13" s="830" t="s">
        <v>1114</v>
      </c>
      <c r="D13" s="2069">
        <f>D12*D11</f>
        <v>0</v>
      </c>
      <c r="E13" s="2070"/>
      <c r="F13" s="2071"/>
      <c r="G13" s="829">
        <f>G12*G11</f>
        <v>0</v>
      </c>
      <c r="H13" s="2072"/>
      <c r="I13" s="2073"/>
      <c r="J13" s="2073"/>
      <c r="K13" s="2073"/>
      <c r="L13" s="2073"/>
      <c r="M13" s="2073"/>
      <c r="N13" s="2074"/>
      <c r="O13" s="81"/>
    </row>
    <row r="14" spans="2:17">
      <c r="B14" s="831"/>
      <c r="C14" s="832"/>
      <c r="D14" s="833"/>
      <c r="E14" s="833"/>
      <c r="F14" s="833"/>
      <c r="G14" s="833"/>
      <c r="H14" s="834"/>
      <c r="I14" s="81"/>
      <c r="J14" s="81"/>
      <c r="K14" s="81"/>
      <c r="L14" s="81"/>
      <c r="M14" s="81"/>
      <c r="N14" s="81"/>
      <c r="O14" s="81"/>
    </row>
    <row r="15" spans="2:17">
      <c r="B15" s="817"/>
      <c r="C15" s="818"/>
      <c r="D15" s="817"/>
      <c r="E15" s="819"/>
      <c r="F15" s="818"/>
      <c r="G15" s="818"/>
      <c r="H15" s="818"/>
      <c r="I15" s="81"/>
      <c r="J15" s="81"/>
      <c r="K15" s="81"/>
      <c r="L15" s="81"/>
      <c r="M15" s="81"/>
      <c r="N15" s="81"/>
      <c r="O15" s="81"/>
    </row>
    <row r="16" spans="2:17">
      <c r="B16" s="1129" t="s">
        <v>183</v>
      </c>
      <c r="C16" s="1129"/>
      <c r="D16" s="1129"/>
      <c r="E16" s="1129"/>
      <c r="F16" s="1129"/>
      <c r="G16" s="1129"/>
      <c r="H16" s="1129"/>
      <c r="I16" s="1129"/>
      <c r="J16" s="1129"/>
      <c r="K16" s="1129"/>
      <c r="L16" s="1129"/>
      <c r="M16" s="1129"/>
      <c r="N16" s="1129"/>
      <c r="O16" s="1129"/>
      <c r="Q16" s="1" t="s">
        <v>563</v>
      </c>
    </row>
    <row r="17" spans="2:30" ht="36">
      <c r="B17" s="801" t="s">
        <v>0</v>
      </c>
      <c r="C17" s="814" t="s">
        <v>1117</v>
      </c>
      <c r="D17" s="814" t="s">
        <v>1118</v>
      </c>
      <c r="E17" s="814" t="s">
        <v>1116</v>
      </c>
      <c r="F17" s="20" t="s">
        <v>42</v>
      </c>
      <c r="G17" s="20" t="s">
        <v>43</v>
      </c>
      <c r="H17" s="18" t="s">
        <v>35</v>
      </c>
      <c r="I17" s="20" t="s">
        <v>36</v>
      </c>
      <c r="J17" s="20" t="s">
        <v>2</v>
      </c>
      <c r="K17" s="20" t="s">
        <v>3</v>
      </c>
      <c r="L17" s="20" t="s">
        <v>39</v>
      </c>
      <c r="M17" s="20" t="s">
        <v>38</v>
      </c>
      <c r="N17" s="20" t="s">
        <v>45</v>
      </c>
      <c r="O17" s="20" t="s">
        <v>44</v>
      </c>
      <c r="Q17" s="801" t="s">
        <v>0</v>
      </c>
      <c r="R17" s="1017" t="s">
        <v>1391</v>
      </c>
      <c r="S17" s="1017" t="s">
        <v>1392</v>
      </c>
      <c r="T17" s="1017" t="s">
        <v>1116</v>
      </c>
      <c r="U17" s="20" t="s">
        <v>42</v>
      </c>
      <c r="V17" s="20" t="s">
        <v>43</v>
      </c>
      <c r="W17" s="18" t="s">
        <v>566</v>
      </c>
      <c r="X17" s="20" t="s">
        <v>567</v>
      </c>
      <c r="Y17" s="20" t="s">
        <v>2</v>
      </c>
      <c r="Z17" s="20" t="s">
        <v>3</v>
      </c>
      <c r="AA17" s="20" t="s">
        <v>568</v>
      </c>
      <c r="AB17" s="20" t="s">
        <v>569</v>
      </c>
      <c r="AC17" s="20" t="s">
        <v>570</v>
      </c>
      <c r="AD17" s="20" t="s">
        <v>571</v>
      </c>
    </row>
    <row r="18" spans="2:30" ht="36">
      <c r="B18" s="801" t="s">
        <v>14</v>
      </c>
      <c r="C18" s="20" t="s">
        <v>16</v>
      </c>
      <c r="D18" s="20" t="s">
        <v>17</v>
      </c>
      <c r="E18" s="20" t="s">
        <v>18</v>
      </c>
      <c r="F18" s="20" t="s">
        <v>19</v>
      </c>
      <c r="G18" s="20" t="s">
        <v>20</v>
      </c>
      <c r="H18" s="20" t="s">
        <v>30</v>
      </c>
      <c r="I18" s="20" t="s">
        <v>29</v>
      </c>
      <c r="J18" s="20" t="s">
        <v>21</v>
      </c>
      <c r="K18" s="20" t="s">
        <v>22</v>
      </c>
      <c r="L18" s="688" t="s">
        <v>608</v>
      </c>
      <c r="M18" s="688" t="s">
        <v>607</v>
      </c>
      <c r="N18" s="802" t="s">
        <v>25</v>
      </c>
      <c r="O18" s="20" t="s">
        <v>32</v>
      </c>
      <c r="Q18" s="801" t="s">
        <v>14</v>
      </c>
      <c r="R18" s="20" t="s">
        <v>1387</v>
      </c>
      <c r="S18" s="20" t="s">
        <v>1388</v>
      </c>
      <c r="T18" s="20" t="s">
        <v>18</v>
      </c>
      <c r="U18" s="20" t="s">
        <v>19</v>
      </c>
      <c r="V18" s="20" t="s">
        <v>20</v>
      </c>
      <c r="W18" s="20" t="s">
        <v>30</v>
      </c>
      <c r="X18" s="20" t="s">
        <v>29</v>
      </c>
      <c r="Y18" s="20" t="s">
        <v>21</v>
      </c>
      <c r="Z18" s="20" t="s">
        <v>22</v>
      </c>
      <c r="AA18" s="688" t="s">
        <v>608</v>
      </c>
      <c r="AB18" s="688" t="s">
        <v>607</v>
      </c>
      <c r="AC18" s="802" t="s">
        <v>25</v>
      </c>
      <c r="AD18" s="20" t="s">
        <v>32</v>
      </c>
    </row>
    <row r="19" spans="2:30">
      <c r="B19" s="798" t="s">
        <v>15</v>
      </c>
      <c r="C19" s="835" t="s">
        <v>1115</v>
      </c>
      <c r="D19" s="835" t="s">
        <v>1115</v>
      </c>
      <c r="E19" s="835" t="s">
        <v>172</v>
      </c>
      <c r="F19" s="5" t="s">
        <v>10</v>
      </c>
      <c r="G19" s="5" t="s">
        <v>10</v>
      </c>
      <c r="H19" s="5" t="s">
        <v>11</v>
      </c>
      <c r="I19" s="5" t="s">
        <v>11</v>
      </c>
      <c r="J19" s="5" t="s">
        <v>10</v>
      </c>
      <c r="K19" s="5" t="s">
        <v>10</v>
      </c>
      <c r="L19" s="5" t="s">
        <v>11</v>
      </c>
      <c r="M19" s="5" t="s">
        <v>11</v>
      </c>
      <c r="N19" s="5" t="s">
        <v>11</v>
      </c>
      <c r="O19" s="798" t="s">
        <v>31</v>
      </c>
      <c r="Q19" s="798" t="s">
        <v>15</v>
      </c>
      <c r="R19" s="835" t="s">
        <v>1115</v>
      </c>
      <c r="S19" s="835" t="s">
        <v>1115</v>
      </c>
      <c r="T19" s="835" t="s">
        <v>172</v>
      </c>
      <c r="U19" s="5" t="s">
        <v>10</v>
      </c>
      <c r="V19" s="5" t="s">
        <v>10</v>
      </c>
      <c r="W19" s="5" t="s">
        <v>11</v>
      </c>
      <c r="X19" s="5" t="s">
        <v>11</v>
      </c>
      <c r="Y19" s="5" t="s">
        <v>10</v>
      </c>
      <c r="Z19" s="5" t="s">
        <v>10</v>
      </c>
      <c r="AA19" s="5" t="s">
        <v>11</v>
      </c>
      <c r="AB19" s="5" t="s">
        <v>11</v>
      </c>
      <c r="AC19" s="5" t="s">
        <v>11</v>
      </c>
      <c r="AD19" s="798" t="s">
        <v>31</v>
      </c>
    </row>
    <row r="20" spans="2:30">
      <c r="B20" s="798">
        <v>1</v>
      </c>
      <c r="C20" s="3"/>
      <c r="D20" s="836">
        <f>G13</f>
        <v>0</v>
      </c>
      <c r="E20" s="837">
        <f>温度条件他根拠!E21</f>
        <v>0</v>
      </c>
      <c r="F20" s="2">
        <v>0</v>
      </c>
      <c r="G20" s="839">
        <f>0.8*(温度条件他根拠!$D$10-温度条件他根拠!D8)/(温度条件他根拠!$D$10-温度条件他根拠!$D$8)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798">
        <v>1</v>
      </c>
      <c r="R20" s="3"/>
      <c r="S20" s="836">
        <f>G8*G12</f>
        <v>0</v>
      </c>
      <c r="T20" s="837">
        <f>温度条件他根拠!E21</f>
        <v>0</v>
      </c>
      <c r="U20" s="838">
        <f>F20</f>
        <v>0</v>
      </c>
      <c r="V20" s="839">
        <f>G20</f>
        <v>0.79999999999999993</v>
      </c>
      <c r="W20" s="7">
        <f t="shared" ref="W20:W31" si="2">$R$27*T20*U20/1000</f>
        <v>0</v>
      </c>
      <c r="X20" s="7">
        <f t="shared" ref="X20:X31"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798">
        <v>2</v>
      </c>
      <c r="C21" s="3"/>
      <c r="D21" s="3"/>
      <c r="E21" s="838">
        <f>E20</f>
        <v>0</v>
      </c>
      <c r="F21" s="2">
        <v>0</v>
      </c>
      <c r="G21" s="839">
        <f>0.8*(温度条件他根拠!$D$10--0.6)/(温度条件他根拠!$D$10-温度条件他根拠!$D$8)</f>
        <v>0.7665116279069768</v>
      </c>
      <c r="H21" s="7">
        <f t="shared" ref="H21:H31" si="5">$C$27*E21*F21/1000</f>
        <v>0</v>
      </c>
      <c r="I21" s="7">
        <f t="shared" ref="I21:I31" si="6">G21*E21*$D$20/1000</f>
        <v>0</v>
      </c>
      <c r="J21" s="6">
        <f>温度条件他根拠!$C$61</f>
        <v>3.55</v>
      </c>
      <c r="K21" s="6">
        <f>温度条件他根拠!$C$62</f>
        <v>3.95</v>
      </c>
      <c r="L21" s="7">
        <f t="shared" si="1"/>
        <v>0</v>
      </c>
      <c r="M21" s="7">
        <f t="shared" si="1"/>
        <v>0</v>
      </c>
      <c r="N21" s="13">
        <f t="shared" ref="N21:N31" si="7">L21+M21</f>
        <v>0</v>
      </c>
      <c r="O21" s="12">
        <f t="shared" ref="O21:O31" si="8">N21*0.495/1000</f>
        <v>0</v>
      </c>
      <c r="Q21" s="798">
        <v>2</v>
      </c>
      <c r="R21" s="3"/>
      <c r="S21" s="3"/>
      <c r="T21" s="838">
        <f>T20</f>
        <v>0</v>
      </c>
      <c r="U21" s="838">
        <f t="shared" ref="U21:U31" si="9">F21</f>
        <v>0</v>
      </c>
      <c r="V21" s="839">
        <f t="shared" ref="V21:V31" si="10">G21</f>
        <v>0.7665116279069768</v>
      </c>
      <c r="W21" s="7">
        <f t="shared" si="2"/>
        <v>0</v>
      </c>
      <c r="X21" s="7">
        <f t="shared" si="3"/>
        <v>0</v>
      </c>
      <c r="Y21" s="6">
        <f>温度条件他根拠!$C$61</f>
        <v>3.55</v>
      </c>
      <c r="Z21" s="6">
        <f>温度条件他根拠!$C$62</f>
        <v>3.95</v>
      </c>
      <c r="AA21" s="7">
        <f t="shared" si="4"/>
        <v>0</v>
      </c>
      <c r="AB21" s="7">
        <f t="shared" si="4"/>
        <v>0</v>
      </c>
      <c r="AC21" s="13">
        <f t="shared" ref="AC21:AC31" si="11">AA21+AB21</f>
        <v>0</v>
      </c>
      <c r="AD21" s="12">
        <f t="shared" ref="AD21:AD31" si="12">AC21*0.495/1000</f>
        <v>0</v>
      </c>
    </row>
    <row r="22" spans="2:30">
      <c r="B22" s="798">
        <v>3</v>
      </c>
      <c r="C22" s="3"/>
      <c r="D22" s="3"/>
      <c r="E22" s="838">
        <f t="shared" ref="E22:E31" si="13">E21</f>
        <v>0</v>
      </c>
      <c r="F22" s="2">
        <v>0</v>
      </c>
      <c r="G22" s="839">
        <f>0.8*(温度条件他根拠!$D$10-2.8)/(温度条件他根拠!$D$10-温度条件他根拠!$D$8)</f>
        <v>0.64</v>
      </c>
      <c r="H22" s="7">
        <f t="shared" si="5"/>
        <v>0</v>
      </c>
      <c r="I22" s="7">
        <f t="shared" si="6"/>
        <v>0</v>
      </c>
      <c r="J22" s="6">
        <f>温度条件他根拠!$C$61</f>
        <v>3.55</v>
      </c>
      <c r="K22" s="6">
        <f>温度条件他根拠!$C$62</f>
        <v>3.95</v>
      </c>
      <c r="L22" s="7">
        <f t="shared" si="1"/>
        <v>0</v>
      </c>
      <c r="M22" s="7">
        <f t="shared" si="1"/>
        <v>0</v>
      </c>
      <c r="N22" s="13">
        <f t="shared" si="7"/>
        <v>0</v>
      </c>
      <c r="O22" s="12">
        <f t="shared" si="8"/>
        <v>0</v>
      </c>
      <c r="Q22" s="798">
        <v>3</v>
      </c>
      <c r="R22" s="3"/>
      <c r="S22" s="3"/>
      <c r="T22" s="838">
        <f t="shared" ref="T22:T31" si="14">T21</f>
        <v>0</v>
      </c>
      <c r="U22" s="838">
        <f t="shared" si="9"/>
        <v>0</v>
      </c>
      <c r="V22" s="839">
        <f t="shared" si="10"/>
        <v>0.64</v>
      </c>
      <c r="W22" s="7">
        <f t="shared" si="2"/>
        <v>0</v>
      </c>
      <c r="X22" s="7">
        <f t="shared" si="3"/>
        <v>0</v>
      </c>
      <c r="Y22" s="6">
        <f>温度条件他根拠!$C$61</f>
        <v>3.55</v>
      </c>
      <c r="Z22" s="6">
        <f>温度条件他根拠!$C$62</f>
        <v>3.95</v>
      </c>
      <c r="AA22" s="7">
        <f t="shared" si="4"/>
        <v>0</v>
      </c>
      <c r="AB22" s="7">
        <f t="shared" si="4"/>
        <v>0</v>
      </c>
      <c r="AC22" s="13">
        <f t="shared" si="11"/>
        <v>0</v>
      </c>
      <c r="AD22" s="12">
        <f t="shared" si="12"/>
        <v>0</v>
      </c>
    </row>
    <row r="23" spans="2:30">
      <c r="B23" s="798">
        <v>4</v>
      </c>
      <c r="C23" s="3"/>
      <c r="D23" s="3"/>
      <c r="E23" s="838">
        <f t="shared" si="13"/>
        <v>0</v>
      </c>
      <c r="F23" s="2">
        <v>0</v>
      </c>
      <c r="G23" s="839">
        <f>0.8*(温度条件他根拠!$D$10-8.1)/(温度条件他根拠!$D$10-温度条件他根拠!$D$8)</f>
        <v>0.44279069767441864</v>
      </c>
      <c r="H23" s="7">
        <f t="shared" si="5"/>
        <v>0</v>
      </c>
      <c r="I23" s="7">
        <f t="shared" si="6"/>
        <v>0</v>
      </c>
      <c r="J23" s="6">
        <f>温度条件他根拠!$C$61</f>
        <v>3.55</v>
      </c>
      <c r="K23" s="6">
        <f>温度条件他根拠!$C$62</f>
        <v>3.95</v>
      </c>
      <c r="L23" s="7">
        <f t="shared" si="1"/>
        <v>0</v>
      </c>
      <c r="M23" s="7">
        <f t="shared" si="1"/>
        <v>0</v>
      </c>
      <c r="N23" s="13">
        <f t="shared" si="7"/>
        <v>0</v>
      </c>
      <c r="O23" s="12">
        <f t="shared" si="8"/>
        <v>0</v>
      </c>
      <c r="Q23" s="798">
        <v>4</v>
      </c>
      <c r="R23" s="3"/>
      <c r="S23" s="3"/>
      <c r="T23" s="838">
        <f t="shared" si="14"/>
        <v>0</v>
      </c>
      <c r="U23" s="838">
        <f t="shared" si="9"/>
        <v>0</v>
      </c>
      <c r="V23" s="839">
        <f t="shared" si="10"/>
        <v>0.44279069767441864</v>
      </c>
      <c r="W23" s="7">
        <f t="shared" si="2"/>
        <v>0</v>
      </c>
      <c r="X23" s="7">
        <f t="shared" si="3"/>
        <v>0</v>
      </c>
      <c r="Y23" s="6">
        <f>温度条件他根拠!$C$61</f>
        <v>3.55</v>
      </c>
      <c r="Z23" s="6">
        <f>温度条件他根拠!$C$62</f>
        <v>3.95</v>
      </c>
      <c r="AA23" s="7">
        <f t="shared" si="4"/>
        <v>0</v>
      </c>
      <c r="AB23" s="7">
        <f t="shared" si="4"/>
        <v>0</v>
      </c>
      <c r="AC23" s="13">
        <f t="shared" si="11"/>
        <v>0</v>
      </c>
      <c r="AD23" s="12">
        <f t="shared" si="12"/>
        <v>0</v>
      </c>
    </row>
    <row r="24" spans="2:30">
      <c r="B24" s="798">
        <v>5</v>
      </c>
      <c r="C24" s="3"/>
      <c r="D24" s="3"/>
      <c r="E24" s="838">
        <f t="shared" si="13"/>
        <v>0</v>
      </c>
      <c r="F24" s="839">
        <f>0.175*(温度条件他根拠!$D$7-温度条件他根拠!$D$9)/(温度条件他根拠!$D$7-23.2)</f>
        <v>7.3795180722891554E-2</v>
      </c>
      <c r="G24" s="839">
        <f>0.2*(温度条件他根拠!$D$10-13.4)/(温度条件他根拠!$D$10-温度条件他根拠!$D$8)</f>
        <v>6.1395348837209304E-2</v>
      </c>
      <c r="H24" s="836">
        <f>$C$27*E24*F24/1000</f>
        <v>0</v>
      </c>
      <c r="I24" s="836">
        <f>G24*E24*$D$20/1000</f>
        <v>0</v>
      </c>
      <c r="J24" s="6">
        <f>温度条件他根拠!$C$61</f>
        <v>3.55</v>
      </c>
      <c r="K24" s="6">
        <f>温度条件他根拠!$C$62</f>
        <v>3.95</v>
      </c>
      <c r="L24" s="7">
        <f t="shared" si="1"/>
        <v>0</v>
      </c>
      <c r="M24" s="7">
        <f t="shared" si="1"/>
        <v>0</v>
      </c>
      <c r="N24" s="13">
        <f t="shared" si="7"/>
        <v>0</v>
      </c>
      <c r="O24" s="12">
        <f t="shared" si="8"/>
        <v>0</v>
      </c>
      <c r="Q24" s="798">
        <v>5</v>
      </c>
      <c r="R24" s="3"/>
      <c r="S24" s="3"/>
      <c r="T24" s="838">
        <f t="shared" si="14"/>
        <v>0</v>
      </c>
      <c r="U24" s="1001">
        <f t="shared" si="9"/>
        <v>7.3795180722891554E-2</v>
      </c>
      <c r="V24" s="839">
        <f t="shared" si="10"/>
        <v>6.1395348837209304E-2</v>
      </c>
      <c r="W24" s="836">
        <f t="shared" si="2"/>
        <v>0</v>
      </c>
      <c r="X24" s="836">
        <f t="shared" si="3"/>
        <v>0</v>
      </c>
      <c r="Y24" s="6">
        <f>温度条件他根拠!$C$61</f>
        <v>3.55</v>
      </c>
      <c r="Z24" s="6">
        <f>温度条件他根拠!$C$62</f>
        <v>3.95</v>
      </c>
      <c r="AA24" s="7">
        <f t="shared" si="4"/>
        <v>0</v>
      </c>
      <c r="AB24" s="7">
        <f t="shared" si="4"/>
        <v>0</v>
      </c>
      <c r="AC24" s="13">
        <f t="shared" si="11"/>
        <v>0</v>
      </c>
      <c r="AD24" s="12">
        <f t="shared" si="12"/>
        <v>0</v>
      </c>
    </row>
    <row r="25" spans="2:30">
      <c r="B25" s="798">
        <v>6</v>
      </c>
      <c r="C25" s="3"/>
      <c r="D25" s="3"/>
      <c r="E25" s="838">
        <f t="shared" si="13"/>
        <v>0</v>
      </c>
      <c r="F25" s="839">
        <f>0.7*(温度条件他根拠!$D$7-温度条件他根拠!$D$9)/(温度条件他根拠!$D$7-26)</f>
        <v>0.44545454545454538</v>
      </c>
      <c r="G25" s="2">
        <v>0</v>
      </c>
      <c r="H25" s="7">
        <f t="shared" si="5"/>
        <v>0</v>
      </c>
      <c r="I25" s="7">
        <f t="shared" si="6"/>
        <v>0</v>
      </c>
      <c r="J25" s="6">
        <f>温度条件他根拠!$C$61</f>
        <v>3.55</v>
      </c>
      <c r="K25" s="6">
        <f>温度条件他根拠!$C$62</f>
        <v>3.95</v>
      </c>
      <c r="L25" s="7">
        <f t="shared" si="1"/>
        <v>0</v>
      </c>
      <c r="M25" s="7">
        <f t="shared" si="1"/>
        <v>0</v>
      </c>
      <c r="N25" s="13">
        <f t="shared" si="7"/>
        <v>0</v>
      </c>
      <c r="O25" s="12">
        <f t="shared" si="8"/>
        <v>0</v>
      </c>
      <c r="Q25" s="798">
        <v>6</v>
      </c>
      <c r="R25" s="3"/>
      <c r="S25" s="3"/>
      <c r="T25" s="838">
        <f t="shared" si="14"/>
        <v>0</v>
      </c>
      <c r="U25" s="1001">
        <f t="shared" si="9"/>
        <v>0.44545454545454538</v>
      </c>
      <c r="V25" s="1009">
        <f t="shared" si="10"/>
        <v>0</v>
      </c>
      <c r="W25" s="7">
        <f t="shared" si="2"/>
        <v>0</v>
      </c>
      <c r="X25" s="7">
        <f t="shared" si="3"/>
        <v>0</v>
      </c>
      <c r="Y25" s="6">
        <f>温度条件他根拠!$C$61</f>
        <v>3.55</v>
      </c>
      <c r="Z25" s="6">
        <f>温度条件他根拠!$C$62</f>
        <v>3.95</v>
      </c>
      <c r="AA25" s="7">
        <f t="shared" si="4"/>
        <v>0</v>
      </c>
      <c r="AB25" s="7">
        <f t="shared" si="4"/>
        <v>0</v>
      </c>
      <c r="AC25" s="13">
        <f t="shared" si="11"/>
        <v>0</v>
      </c>
      <c r="AD25" s="12">
        <f t="shared" si="12"/>
        <v>0</v>
      </c>
    </row>
    <row r="26" spans="2:30">
      <c r="B26" s="798">
        <v>7</v>
      </c>
      <c r="C26" s="3"/>
      <c r="D26" s="3"/>
      <c r="E26" s="838">
        <f t="shared" si="13"/>
        <v>0</v>
      </c>
      <c r="F26" s="839">
        <f>0.7*(温度条件他根拠!$D$7-温度条件他根拠!$D$9)/(温度条件他根拠!$D$7-28)</f>
        <v>0.7</v>
      </c>
      <c r="G26" s="2">
        <v>0</v>
      </c>
      <c r="H26" s="7">
        <f t="shared" si="5"/>
        <v>0</v>
      </c>
      <c r="I26" s="7">
        <f t="shared" si="6"/>
        <v>0</v>
      </c>
      <c r="J26" s="6">
        <f>温度条件他根拠!$C$61</f>
        <v>3.55</v>
      </c>
      <c r="K26" s="6">
        <f>温度条件他根拠!$C$62</f>
        <v>3.95</v>
      </c>
      <c r="L26" s="7">
        <f t="shared" si="1"/>
        <v>0</v>
      </c>
      <c r="M26" s="7">
        <f t="shared" si="1"/>
        <v>0</v>
      </c>
      <c r="N26" s="13">
        <f t="shared" si="7"/>
        <v>0</v>
      </c>
      <c r="O26" s="12">
        <f t="shared" si="8"/>
        <v>0</v>
      </c>
      <c r="Q26" s="798">
        <v>7</v>
      </c>
      <c r="R26" s="3"/>
      <c r="S26" s="3"/>
      <c r="T26" s="838">
        <f t="shared" si="14"/>
        <v>0</v>
      </c>
      <c r="U26" s="1001">
        <f t="shared" si="9"/>
        <v>0.7</v>
      </c>
      <c r="V26" s="1009">
        <f t="shared" si="10"/>
        <v>0</v>
      </c>
      <c r="W26" s="7">
        <f t="shared" si="2"/>
        <v>0</v>
      </c>
      <c r="X26" s="7">
        <f t="shared" si="3"/>
        <v>0</v>
      </c>
      <c r="Y26" s="6">
        <f>温度条件他根拠!$C$61</f>
        <v>3.55</v>
      </c>
      <c r="Z26" s="6">
        <f>温度条件他根拠!$C$62</f>
        <v>3.95</v>
      </c>
      <c r="AA26" s="7">
        <f t="shared" si="4"/>
        <v>0</v>
      </c>
      <c r="AB26" s="7">
        <f t="shared" si="4"/>
        <v>0</v>
      </c>
      <c r="AC26" s="13">
        <f t="shared" si="11"/>
        <v>0</v>
      </c>
      <c r="AD26" s="12">
        <f t="shared" si="12"/>
        <v>0</v>
      </c>
    </row>
    <row r="27" spans="2:30">
      <c r="B27" s="798">
        <v>8</v>
      </c>
      <c r="C27" s="836">
        <f>D13</f>
        <v>0</v>
      </c>
      <c r="D27" s="3"/>
      <c r="E27" s="838">
        <f t="shared" si="13"/>
        <v>0</v>
      </c>
      <c r="F27" s="839">
        <f>0.7*(温度条件他根拠!$D$7-温度条件他根拠!$D$9)/(温度条件他根拠!$D$7-28)</f>
        <v>0.7</v>
      </c>
      <c r="G27" s="2">
        <v>0</v>
      </c>
      <c r="H27" s="7">
        <f>$C$27*E27*F27/1000</f>
        <v>0</v>
      </c>
      <c r="I27" s="7">
        <f t="shared" si="6"/>
        <v>0</v>
      </c>
      <c r="J27" s="6">
        <f>温度条件他根拠!$C$61</f>
        <v>3.55</v>
      </c>
      <c r="K27" s="6">
        <f>温度条件他根拠!$C$62</f>
        <v>3.95</v>
      </c>
      <c r="L27" s="7">
        <f t="shared" si="1"/>
        <v>0</v>
      </c>
      <c r="M27" s="7">
        <f t="shared" si="1"/>
        <v>0</v>
      </c>
      <c r="N27" s="13">
        <f t="shared" si="7"/>
        <v>0</v>
      </c>
      <c r="O27" s="12">
        <f t="shared" si="8"/>
        <v>0</v>
      </c>
      <c r="Q27" s="798">
        <v>8</v>
      </c>
      <c r="R27" s="836">
        <f>E8*D12</f>
        <v>0</v>
      </c>
      <c r="S27" s="3"/>
      <c r="T27" s="838">
        <f t="shared" si="14"/>
        <v>0</v>
      </c>
      <c r="U27" s="1001">
        <f t="shared" si="9"/>
        <v>0.7</v>
      </c>
      <c r="V27" s="1009">
        <f t="shared" si="10"/>
        <v>0</v>
      </c>
      <c r="W27" s="7">
        <f t="shared" si="2"/>
        <v>0</v>
      </c>
      <c r="X27" s="7">
        <f t="shared" si="3"/>
        <v>0</v>
      </c>
      <c r="Y27" s="6">
        <f>温度条件他根拠!$C$61</f>
        <v>3.55</v>
      </c>
      <c r="Z27" s="6">
        <f>温度条件他根拠!$C$62</f>
        <v>3.95</v>
      </c>
      <c r="AA27" s="7">
        <f t="shared" si="4"/>
        <v>0</v>
      </c>
      <c r="AB27" s="7">
        <f t="shared" si="4"/>
        <v>0</v>
      </c>
      <c r="AC27" s="13">
        <f t="shared" si="11"/>
        <v>0</v>
      </c>
      <c r="AD27" s="12">
        <f t="shared" si="12"/>
        <v>0</v>
      </c>
    </row>
    <row r="28" spans="2:30">
      <c r="B28" s="798">
        <v>9</v>
      </c>
      <c r="C28" s="3"/>
      <c r="D28" s="3"/>
      <c r="E28" s="838">
        <f t="shared" si="13"/>
        <v>0</v>
      </c>
      <c r="F28" s="839">
        <f>0.7*(温度条件他根拠!$D$7-温度条件他根拠!$D$9)/(温度条件他根拠!$D$7-27.1)</f>
        <v>0.55681818181818199</v>
      </c>
      <c r="G28" s="2">
        <v>0</v>
      </c>
      <c r="H28" s="7">
        <f t="shared" si="5"/>
        <v>0</v>
      </c>
      <c r="I28" s="7">
        <f t="shared" si="6"/>
        <v>0</v>
      </c>
      <c r="J28" s="6">
        <f>温度条件他根拠!$C$61</f>
        <v>3.55</v>
      </c>
      <c r="K28" s="6">
        <f>温度条件他根拠!$C$62</f>
        <v>3.95</v>
      </c>
      <c r="L28" s="7">
        <f t="shared" si="1"/>
        <v>0</v>
      </c>
      <c r="M28" s="7">
        <f t="shared" si="1"/>
        <v>0</v>
      </c>
      <c r="N28" s="13">
        <f t="shared" si="7"/>
        <v>0</v>
      </c>
      <c r="O28" s="12">
        <f t="shared" si="8"/>
        <v>0</v>
      </c>
      <c r="Q28" s="798">
        <v>9</v>
      </c>
      <c r="R28" s="3"/>
      <c r="S28" s="3"/>
      <c r="T28" s="838">
        <f t="shared" si="14"/>
        <v>0</v>
      </c>
      <c r="U28" s="1001">
        <f t="shared" si="9"/>
        <v>0.55681818181818199</v>
      </c>
      <c r="V28" s="1009">
        <f t="shared" si="10"/>
        <v>0</v>
      </c>
      <c r="W28" s="7">
        <f t="shared" si="2"/>
        <v>0</v>
      </c>
      <c r="X28" s="7">
        <f t="shared" si="3"/>
        <v>0</v>
      </c>
      <c r="Y28" s="6">
        <f>温度条件他根拠!$C$61</f>
        <v>3.55</v>
      </c>
      <c r="Z28" s="6">
        <f>温度条件他根拠!$C$62</f>
        <v>3.95</v>
      </c>
      <c r="AA28" s="7">
        <f t="shared" si="4"/>
        <v>0</v>
      </c>
      <c r="AB28" s="7">
        <f t="shared" si="4"/>
        <v>0</v>
      </c>
      <c r="AC28" s="13">
        <f t="shared" si="11"/>
        <v>0</v>
      </c>
      <c r="AD28" s="12">
        <f t="shared" si="12"/>
        <v>0</v>
      </c>
    </row>
    <row r="29" spans="2:30">
      <c r="B29" s="798">
        <v>10</v>
      </c>
      <c r="C29" s="3"/>
      <c r="D29" s="3"/>
      <c r="E29" s="838">
        <f t="shared" si="13"/>
        <v>0</v>
      </c>
      <c r="F29" s="839">
        <f>0.175*(温度条件他根拠!$D$7-温度条件他根拠!$D$9)/(温度条件他根拠!$D$7-21.6)</f>
        <v>6.1868686868686872E-2</v>
      </c>
      <c r="G29" s="839">
        <f>0.2*(温度条件他根拠!$D$10-12.8)/(温度条件他根拠!$D$10-温度条件他根拠!$D$8)</f>
        <v>6.6976744186046502E-2</v>
      </c>
      <c r="H29" s="836">
        <f>$C$27*E29*F29/1000</f>
        <v>0</v>
      </c>
      <c r="I29" s="836">
        <f>G29*E29*$D$20/1000</f>
        <v>0</v>
      </c>
      <c r="J29" s="6">
        <f>温度条件他根拠!$C$61</f>
        <v>3.55</v>
      </c>
      <c r="K29" s="6">
        <f>温度条件他根拠!$C$62</f>
        <v>3.95</v>
      </c>
      <c r="L29" s="7">
        <f t="shared" si="1"/>
        <v>0</v>
      </c>
      <c r="M29" s="7">
        <f t="shared" si="1"/>
        <v>0</v>
      </c>
      <c r="N29" s="13">
        <f t="shared" si="7"/>
        <v>0</v>
      </c>
      <c r="O29" s="12">
        <f t="shared" si="8"/>
        <v>0</v>
      </c>
      <c r="Q29" s="798">
        <v>10</v>
      </c>
      <c r="R29" s="3"/>
      <c r="S29" s="3"/>
      <c r="T29" s="838">
        <f t="shared" si="14"/>
        <v>0</v>
      </c>
      <c r="U29" s="1001">
        <f t="shared" si="9"/>
        <v>6.1868686868686872E-2</v>
      </c>
      <c r="V29" s="839">
        <f t="shared" si="10"/>
        <v>6.6976744186046502E-2</v>
      </c>
      <c r="W29" s="836">
        <f t="shared" si="2"/>
        <v>0</v>
      </c>
      <c r="X29" s="836">
        <f t="shared" si="3"/>
        <v>0</v>
      </c>
      <c r="Y29" s="6">
        <f>温度条件他根拠!$C$61</f>
        <v>3.55</v>
      </c>
      <c r="Z29" s="6">
        <f>温度条件他根拠!$C$62</f>
        <v>3.95</v>
      </c>
      <c r="AA29" s="7">
        <f t="shared" si="4"/>
        <v>0</v>
      </c>
      <c r="AB29" s="7">
        <f t="shared" si="4"/>
        <v>0</v>
      </c>
      <c r="AC29" s="13">
        <f t="shared" si="11"/>
        <v>0</v>
      </c>
      <c r="AD29" s="12">
        <f t="shared" si="12"/>
        <v>0</v>
      </c>
    </row>
    <row r="30" spans="2:30">
      <c r="B30" s="798">
        <v>11</v>
      </c>
      <c r="C30" s="3"/>
      <c r="D30" s="3"/>
      <c r="E30" s="838">
        <f t="shared" si="13"/>
        <v>0</v>
      </c>
      <c r="F30" s="2">
        <v>0</v>
      </c>
      <c r="G30" s="839">
        <f>0.8*(温度条件他根拠!$D$10-6.2)/(温度条件他根拠!$D$10-温度条件他根拠!$D$8)</f>
        <v>0.51348837209302334</v>
      </c>
      <c r="H30" s="7">
        <f t="shared" si="5"/>
        <v>0</v>
      </c>
      <c r="I30" s="7">
        <f t="shared" si="6"/>
        <v>0</v>
      </c>
      <c r="J30" s="6">
        <f>温度条件他根拠!$C$61</f>
        <v>3.55</v>
      </c>
      <c r="K30" s="6">
        <f>温度条件他根拠!$C$62</f>
        <v>3.95</v>
      </c>
      <c r="L30" s="7">
        <f t="shared" si="1"/>
        <v>0</v>
      </c>
      <c r="M30" s="7">
        <f t="shared" si="1"/>
        <v>0</v>
      </c>
      <c r="N30" s="13">
        <f t="shared" si="7"/>
        <v>0</v>
      </c>
      <c r="O30" s="12">
        <f t="shared" si="8"/>
        <v>0</v>
      </c>
      <c r="Q30" s="798">
        <v>11</v>
      </c>
      <c r="R30" s="3"/>
      <c r="S30" s="3"/>
      <c r="T30" s="838">
        <f t="shared" si="14"/>
        <v>0</v>
      </c>
      <c r="U30" s="838">
        <f t="shared" si="9"/>
        <v>0</v>
      </c>
      <c r="V30" s="839">
        <f t="shared" si="10"/>
        <v>0.51348837209302334</v>
      </c>
      <c r="W30" s="7">
        <f t="shared" si="2"/>
        <v>0</v>
      </c>
      <c r="X30" s="7">
        <f t="shared" si="3"/>
        <v>0</v>
      </c>
      <c r="Y30" s="6">
        <f>温度条件他根拠!$C$61</f>
        <v>3.55</v>
      </c>
      <c r="Z30" s="6">
        <f>温度条件他根拠!$C$62</f>
        <v>3.95</v>
      </c>
      <c r="AA30" s="7">
        <f t="shared" si="4"/>
        <v>0</v>
      </c>
      <c r="AB30" s="7">
        <f t="shared" si="4"/>
        <v>0</v>
      </c>
      <c r="AC30" s="13">
        <f t="shared" si="11"/>
        <v>0</v>
      </c>
      <c r="AD30" s="12">
        <f t="shared" si="12"/>
        <v>0</v>
      </c>
    </row>
    <row r="31" spans="2:30">
      <c r="B31" s="798">
        <v>12</v>
      </c>
      <c r="C31" s="3"/>
      <c r="D31" s="3"/>
      <c r="E31" s="838">
        <f t="shared" si="13"/>
        <v>0</v>
      </c>
      <c r="F31" s="2">
        <v>0</v>
      </c>
      <c r="G31" s="839">
        <f>0.8*(温度条件他根拠!$D$10-0.8)/(温度条件他根拠!$D$10-温度条件他根拠!$D$8)</f>
        <v>0.7144186046511628</v>
      </c>
      <c r="H31" s="7">
        <f t="shared" si="5"/>
        <v>0</v>
      </c>
      <c r="I31" s="7">
        <f t="shared" si="6"/>
        <v>0</v>
      </c>
      <c r="J31" s="6">
        <f>温度条件他根拠!$C$61</f>
        <v>3.55</v>
      </c>
      <c r="K31" s="6">
        <f>温度条件他根拠!$C$62</f>
        <v>3.95</v>
      </c>
      <c r="L31" s="7">
        <f t="shared" si="1"/>
        <v>0</v>
      </c>
      <c r="M31" s="7">
        <f t="shared" si="1"/>
        <v>0</v>
      </c>
      <c r="N31" s="13">
        <f t="shared" si="7"/>
        <v>0</v>
      </c>
      <c r="O31" s="12">
        <f t="shared" si="8"/>
        <v>0</v>
      </c>
      <c r="Q31" s="798">
        <v>12</v>
      </c>
      <c r="R31" s="3"/>
      <c r="S31" s="3"/>
      <c r="T31" s="838">
        <f t="shared" si="14"/>
        <v>0</v>
      </c>
      <c r="U31" s="838">
        <f t="shared" si="9"/>
        <v>0</v>
      </c>
      <c r="V31" s="839">
        <f t="shared" si="10"/>
        <v>0.7144186046511628</v>
      </c>
      <c r="W31" s="7">
        <f t="shared" si="2"/>
        <v>0</v>
      </c>
      <c r="X31" s="7">
        <f t="shared" si="3"/>
        <v>0</v>
      </c>
      <c r="Y31" s="6">
        <f>温度条件他根拠!$C$61</f>
        <v>3.55</v>
      </c>
      <c r="Z31" s="6">
        <f>温度条件他根拠!$C$62</f>
        <v>3.95</v>
      </c>
      <c r="AA31" s="7">
        <f t="shared" si="4"/>
        <v>0</v>
      </c>
      <c r="AB31" s="7">
        <f t="shared" si="4"/>
        <v>0</v>
      </c>
      <c r="AC31" s="13">
        <f t="shared" si="11"/>
        <v>0</v>
      </c>
      <c r="AD31" s="12">
        <f t="shared" si="12"/>
        <v>0</v>
      </c>
    </row>
    <row r="32" spans="2:30">
      <c r="B32" s="2" t="s">
        <v>1</v>
      </c>
      <c r="C32" s="3"/>
      <c r="D32" s="3"/>
      <c r="E32" s="836">
        <f>SUM(E20:E31)</f>
        <v>0</v>
      </c>
      <c r="F32" s="3"/>
      <c r="G32" s="3"/>
      <c r="H32" s="7">
        <f>SUM(H20:H31)</f>
        <v>0</v>
      </c>
      <c r="I32" s="7">
        <f>SUM(I20:I31)</f>
        <v>0</v>
      </c>
      <c r="J32" s="3"/>
      <c r="K32" s="3"/>
      <c r="L32" s="7">
        <f>SUM(L20:L31)</f>
        <v>0</v>
      </c>
      <c r="M32" s="7">
        <f>SUM(M20:M31)</f>
        <v>0</v>
      </c>
      <c r="N32" s="13">
        <f>SUM(N20:N31)</f>
        <v>0</v>
      </c>
      <c r="O32" s="17">
        <f>SUM(O20:O31)</f>
        <v>0</v>
      </c>
      <c r="Q32" s="2" t="s">
        <v>1</v>
      </c>
      <c r="R32" s="3"/>
      <c r="S32" s="3"/>
      <c r="T32" s="836">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7" spans="2:3">
      <c r="B57" s="1" t="s">
        <v>1079</v>
      </c>
    </row>
    <row r="58" spans="2:3">
      <c r="B58" s="691">
        <v>43927</v>
      </c>
      <c r="C58" s="690" t="s">
        <v>866</v>
      </c>
    </row>
    <row r="59" spans="2:3">
      <c r="B59" s="691">
        <v>44634</v>
      </c>
      <c r="C59" s="690" t="s">
        <v>1119</v>
      </c>
    </row>
    <row r="60" spans="2:3">
      <c r="C60" s="690" t="s">
        <v>1120</v>
      </c>
    </row>
    <row r="61" spans="2:3">
      <c r="C61" s="1" t="s">
        <v>1121</v>
      </c>
    </row>
    <row r="62" spans="2:3">
      <c r="C62" s="1" t="s">
        <v>1133</v>
      </c>
    </row>
    <row r="63" spans="2:3">
      <c r="C63" s="1" t="s">
        <v>1134</v>
      </c>
    </row>
  </sheetData>
  <mergeCells count="12">
    <mergeCell ref="D13:F13"/>
    <mergeCell ref="H13:N13"/>
    <mergeCell ref="B16:O16"/>
    <mergeCell ref="B5:C6"/>
    <mergeCell ref="D5:F5"/>
    <mergeCell ref="G5:G6"/>
    <mergeCell ref="H5:N6"/>
    <mergeCell ref="H7:N10"/>
    <mergeCell ref="D11:F11"/>
    <mergeCell ref="H11:N11"/>
    <mergeCell ref="D12:F12"/>
    <mergeCell ref="H12:N12"/>
  </mergeCells>
  <phoneticPr fontId="2"/>
  <pageMargins left="0" right="0" top="0.55118110236220474" bottom="0.15748031496062992" header="0.11811023622047245" footer="0"/>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FFFF00"/>
  </sheetPr>
  <dimension ref="B1:AD91"/>
  <sheetViews>
    <sheetView topLeftCell="A2" workbookViewId="0">
      <selection activeCell="H9" sqref="H9"/>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6">
      <c r="B1" s="156">
        <f>温度条件他根拠!D6</f>
        <v>1</v>
      </c>
      <c r="C1" s="157"/>
      <c r="D1" s="705" t="str">
        <f ca="1">RIGHT(CELL("filename",D1),LEN(CELL("filename",D1))-FIND("]",CELL("filename",D1)))</f>
        <v>さいたま市外壁遮熱</v>
      </c>
      <c r="E1" s="81"/>
      <c r="F1" s="81"/>
      <c r="G1" s="81"/>
      <c r="H1" s="81"/>
      <c r="I1" s="81"/>
      <c r="J1" s="81"/>
      <c r="K1" s="81"/>
      <c r="L1" s="81"/>
      <c r="M1" s="81"/>
      <c r="N1" s="81"/>
      <c r="O1" s="81"/>
    </row>
    <row r="2" spans="2:16" ht="13.5" thickBot="1">
      <c r="B2" s="888"/>
      <c r="C2" s="889"/>
      <c r="D2" s="887"/>
      <c r="E2" s="81"/>
      <c r="F2" s="81"/>
      <c r="G2" s="81"/>
      <c r="H2" s="81"/>
      <c r="I2" s="81"/>
      <c r="J2" s="81"/>
      <c r="K2" s="81"/>
      <c r="L2" s="81"/>
      <c r="M2" s="81"/>
      <c r="N2" s="81"/>
      <c r="O2" s="81"/>
    </row>
    <row r="3" spans="2:16" ht="13" customHeight="1" thickBot="1">
      <c r="B3" s="840" t="s">
        <v>1093</v>
      </c>
      <c r="C3" s="890"/>
      <c r="D3" s="841"/>
      <c r="E3" s="841"/>
      <c r="F3" s="841"/>
      <c r="G3" s="841"/>
      <c r="H3" s="1010"/>
      <c r="I3" s="1010"/>
      <c r="J3" s="2096" t="str">
        <f>J16</f>
        <v>D
時間帯合計値の最大値の方位別冷房負荷（計算採用値）</v>
      </c>
      <c r="K3" s="2099" t="str">
        <f>K16</f>
        <v>E
方位別日射時間
(h/日）</v>
      </c>
      <c r="L3" s="2102" t="str">
        <f>L16</f>
        <v>①
＝ΣD×E
方位別
日冷房
負荷
削減量
（W・h/日）</v>
      </c>
      <c r="M3" s="897"/>
      <c r="N3" s="2096" t="str">
        <f>N16</f>
        <v>F
時間帯合計値の最大値の方位別暖房負荷（計算採用値）</v>
      </c>
      <c r="O3" s="2099" t="str">
        <f>O16</f>
        <v>E
方位別日射時間
(h/日）</v>
      </c>
      <c r="P3" s="2102" t="str">
        <f>P16</f>
        <v>②
＝ΣF×E
方位別
日暖房
負荷
削減量
（W・h/日）</v>
      </c>
    </row>
    <row r="4" spans="2:16">
      <c r="B4" s="2088" t="s">
        <v>1094</v>
      </c>
      <c r="C4" s="2089"/>
      <c r="D4" s="2089" t="s">
        <v>1095</v>
      </c>
      <c r="E4" s="2089"/>
      <c r="F4" s="2089"/>
      <c r="G4" s="2092" t="s">
        <v>1122</v>
      </c>
      <c r="H4" s="894"/>
      <c r="I4" s="894"/>
      <c r="J4" s="2097"/>
      <c r="K4" s="2100"/>
      <c r="L4" s="2103"/>
      <c r="M4" s="896"/>
      <c r="N4" s="2097"/>
      <c r="O4" s="2100"/>
      <c r="P4" s="2103"/>
    </row>
    <row r="5" spans="2:16" ht="13.5" thickBot="1">
      <c r="B5" s="2090"/>
      <c r="C5" s="2091"/>
      <c r="D5" s="842" t="s">
        <v>1098</v>
      </c>
      <c r="E5" s="842" t="s">
        <v>1099</v>
      </c>
      <c r="F5" s="842" t="s">
        <v>1100</v>
      </c>
      <c r="G5" s="2093"/>
      <c r="H5" s="894"/>
      <c r="I5" s="894"/>
      <c r="J5" s="2098"/>
      <c r="K5" s="2101"/>
      <c r="L5" s="2104"/>
      <c r="M5" s="896"/>
      <c r="N5" s="2098"/>
      <c r="O5" s="2101"/>
      <c r="P5" s="2104"/>
    </row>
    <row r="6" spans="2:16">
      <c r="B6" s="2094" t="s">
        <v>1123</v>
      </c>
      <c r="C6" s="881" t="s">
        <v>1395</v>
      </c>
      <c r="D6" s="882">
        <f>結果!H31</f>
        <v>0</v>
      </c>
      <c r="E6" s="882">
        <f>結果!J31</f>
        <v>0</v>
      </c>
      <c r="F6" s="882">
        <f>結果!L31</f>
        <v>0</v>
      </c>
      <c r="G6" s="883">
        <f>結果!Q31</f>
        <v>0</v>
      </c>
      <c r="H6" s="894"/>
      <c r="I6" s="894"/>
      <c r="J6" s="857">
        <f>IF(D32&gt;=D33,D6,IF(E32&gt;=D33,E6,F6))</f>
        <v>0</v>
      </c>
      <c r="K6" s="858">
        <f>温度条件他根拠!C36</f>
        <v>0</v>
      </c>
      <c r="L6" s="859">
        <f>K6*J6</f>
        <v>0</v>
      </c>
      <c r="M6" s="896"/>
      <c r="N6" s="860">
        <v>0</v>
      </c>
      <c r="O6" s="858">
        <f>K6</f>
        <v>0</v>
      </c>
      <c r="P6" s="859">
        <f>O6*N6</f>
        <v>0</v>
      </c>
    </row>
    <row r="7" spans="2:16">
      <c r="B7" s="2077"/>
      <c r="C7" s="877" t="s">
        <v>1396</v>
      </c>
      <c r="D7" s="847">
        <f>結果!H32</f>
        <v>0</v>
      </c>
      <c r="E7" s="847">
        <f>結果!J32</f>
        <v>0</v>
      </c>
      <c r="F7" s="847">
        <f>結果!L32</f>
        <v>0</v>
      </c>
      <c r="G7" s="879">
        <f>結果!Q32</f>
        <v>0</v>
      </c>
      <c r="H7" s="894"/>
      <c r="I7" s="894"/>
      <c r="J7" s="862">
        <f>IF(D32&gt;=D33,D7,IF(E32&gt;=D33,E7,F7))</f>
        <v>0</v>
      </c>
      <c r="K7" s="863">
        <f>温度条件他根拠!D36</f>
        <v>2.5</v>
      </c>
      <c r="L7" s="864">
        <f t="shared" ref="L7:L13" si="0">K7*J7</f>
        <v>0</v>
      </c>
      <c r="M7" s="896"/>
      <c r="N7" s="865">
        <v>0</v>
      </c>
      <c r="O7" s="863">
        <f>K7</f>
        <v>2.5</v>
      </c>
      <c r="P7" s="864">
        <f t="shared" ref="P7:P13" si="1">O7*N7</f>
        <v>0</v>
      </c>
    </row>
    <row r="8" spans="2:16">
      <c r="B8" s="2077"/>
      <c r="C8" s="877" t="s">
        <v>1397</v>
      </c>
      <c r="D8" s="847">
        <f>結果!H33</f>
        <v>0</v>
      </c>
      <c r="E8" s="847">
        <f>結果!J33</f>
        <v>0</v>
      </c>
      <c r="F8" s="847">
        <f>結果!L33</f>
        <v>0</v>
      </c>
      <c r="G8" s="879">
        <f>結果!Q33</f>
        <v>0</v>
      </c>
      <c r="H8" s="894"/>
      <c r="I8" s="894"/>
      <c r="J8" s="862">
        <f>IF(D32&gt;=D33,D8,IF(E32&gt;=D33,E8,F8))</f>
        <v>0</v>
      </c>
      <c r="K8" s="863">
        <f>温度条件他根拠!E36</f>
        <v>3.5</v>
      </c>
      <c r="L8" s="864">
        <f t="shared" si="0"/>
        <v>0</v>
      </c>
      <c r="M8" s="896"/>
      <c r="N8" s="865">
        <v>0</v>
      </c>
      <c r="O8" s="863">
        <f t="shared" ref="O8:O13" si="2">K8</f>
        <v>3.5</v>
      </c>
      <c r="P8" s="864">
        <f t="shared" si="1"/>
        <v>0</v>
      </c>
    </row>
    <row r="9" spans="2:16">
      <c r="B9" s="2077"/>
      <c r="C9" s="877" t="s">
        <v>1398</v>
      </c>
      <c r="D9" s="847">
        <f>結果!H34</f>
        <v>0</v>
      </c>
      <c r="E9" s="847">
        <f>結果!J34</f>
        <v>0</v>
      </c>
      <c r="F9" s="847">
        <f>結果!L34</f>
        <v>0</v>
      </c>
      <c r="G9" s="879">
        <f>結果!Q34</f>
        <v>0</v>
      </c>
      <c r="H9" s="894"/>
      <c r="I9" s="894"/>
      <c r="J9" s="862">
        <f>IF(D32&gt;=D33,D9,IF(E32&gt;=D33,E9,F9))</f>
        <v>0</v>
      </c>
      <c r="K9" s="863">
        <f>温度条件他根拠!F36</f>
        <v>4.5</v>
      </c>
      <c r="L9" s="864">
        <f t="shared" si="0"/>
        <v>0</v>
      </c>
      <c r="M9" s="896"/>
      <c r="N9" s="865">
        <v>0</v>
      </c>
      <c r="O9" s="863">
        <f t="shared" si="2"/>
        <v>4.5</v>
      </c>
      <c r="P9" s="864">
        <f t="shared" si="1"/>
        <v>0</v>
      </c>
    </row>
    <row r="10" spans="2:16">
      <c r="B10" s="2077"/>
      <c r="C10" s="877" t="s">
        <v>1399</v>
      </c>
      <c r="D10" s="847">
        <f>結果!H35</f>
        <v>0</v>
      </c>
      <c r="E10" s="847">
        <f>結果!J35</f>
        <v>0</v>
      </c>
      <c r="F10" s="847">
        <f>結果!L35</f>
        <v>0</v>
      </c>
      <c r="G10" s="879">
        <f>結果!Q35</f>
        <v>0</v>
      </c>
      <c r="H10" s="894"/>
      <c r="I10" s="894"/>
      <c r="J10" s="862">
        <f>IF(D32&gt;=D33,D10,IF(E32&gt;=D33,E10,F10))</f>
        <v>0</v>
      </c>
      <c r="K10" s="866">
        <f>温度条件他根拠!G36</f>
        <v>5</v>
      </c>
      <c r="L10" s="864">
        <f t="shared" si="0"/>
        <v>0</v>
      </c>
      <c r="M10" s="896"/>
      <c r="N10" s="865">
        <v>0</v>
      </c>
      <c r="O10" s="866">
        <f t="shared" si="2"/>
        <v>5</v>
      </c>
      <c r="P10" s="864">
        <f t="shared" si="1"/>
        <v>0</v>
      </c>
    </row>
    <row r="11" spans="2:16">
      <c r="B11" s="2077"/>
      <c r="C11" s="877" t="s">
        <v>1400</v>
      </c>
      <c r="D11" s="847">
        <f>結果!H36</f>
        <v>0</v>
      </c>
      <c r="E11" s="847">
        <f>結果!J36</f>
        <v>0</v>
      </c>
      <c r="F11" s="847">
        <f>結果!L36</f>
        <v>0</v>
      </c>
      <c r="G11" s="879">
        <f>結果!Q36</f>
        <v>0</v>
      </c>
      <c r="H11" s="894"/>
      <c r="I11" s="894"/>
      <c r="J11" s="862">
        <f>IF(D32&gt;=D33,D11,IF(E32&gt;=D33,E11,F11))</f>
        <v>0</v>
      </c>
      <c r="K11" s="863">
        <f>温度条件他根拠!H36</f>
        <v>4.5</v>
      </c>
      <c r="L11" s="864">
        <f t="shared" si="0"/>
        <v>0</v>
      </c>
      <c r="M11" s="896"/>
      <c r="N11" s="865">
        <v>0</v>
      </c>
      <c r="O11" s="863">
        <f t="shared" si="2"/>
        <v>4.5</v>
      </c>
      <c r="P11" s="864">
        <f t="shared" si="1"/>
        <v>0</v>
      </c>
    </row>
    <row r="12" spans="2:16">
      <c r="B12" s="2077"/>
      <c r="C12" s="877" t="s">
        <v>1401</v>
      </c>
      <c r="D12" s="847">
        <f>結果!H37</f>
        <v>0</v>
      </c>
      <c r="E12" s="847">
        <f>結果!J37</f>
        <v>0</v>
      </c>
      <c r="F12" s="847">
        <f>結果!L37</f>
        <v>0</v>
      </c>
      <c r="G12" s="879">
        <f>結果!Q37</f>
        <v>0</v>
      </c>
      <c r="H12" s="894"/>
      <c r="I12" s="894"/>
      <c r="J12" s="862">
        <f>IF(D32&gt;=D33,D12,IF(E32&gt;=D33,E12,F12))</f>
        <v>0</v>
      </c>
      <c r="K12" s="863">
        <f>温度条件他根拠!I36</f>
        <v>3.5</v>
      </c>
      <c r="L12" s="864">
        <f t="shared" si="0"/>
        <v>0</v>
      </c>
      <c r="M12" s="896"/>
      <c r="N12" s="865">
        <v>0</v>
      </c>
      <c r="O12" s="863">
        <f t="shared" si="2"/>
        <v>3.5</v>
      </c>
      <c r="P12" s="864">
        <f t="shared" si="1"/>
        <v>0</v>
      </c>
    </row>
    <row r="13" spans="2:16" ht="13.5" customHeight="1" thickBot="1">
      <c r="B13" s="2077"/>
      <c r="C13" s="878" t="s">
        <v>1402</v>
      </c>
      <c r="D13" s="850">
        <f>結果!H38</f>
        <v>0</v>
      </c>
      <c r="E13" s="850">
        <f>結果!J38</f>
        <v>0</v>
      </c>
      <c r="F13" s="850">
        <f>結果!L38</f>
        <v>0</v>
      </c>
      <c r="G13" s="880">
        <f>結果!Q38</f>
        <v>0</v>
      </c>
      <c r="H13" s="894"/>
      <c r="I13" s="894"/>
      <c r="J13" s="868">
        <f>IF(D32&gt;=D33,D13,IF(E32&gt;=D33,E13,F13))</f>
        <v>0</v>
      </c>
      <c r="K13" s="869">
        <f>温度条件他根拠!J36</f>
        <v>2.5</v>
      </c>
      <c r="L13" s="870">
        <f t="shared" si="0"/>
        <v>0</v>
      </c>
      <c r="M13" s="896"/>
      <c r="N13" s="865">
        <v>0</v>
      </c>
      <c r="O13" s="863">
        <f t="shared" si="2"/>
        <v>2.5</v>
      </c>
      <c r="P13" s="870">
        <f t="shared" si="1"/>
        <v>0</v>
      </c>
    </row>
    <row r="14" spans="2:16" ht="13.5" customHeight="1" thickBot="1">
      <c r="B14" s="2095"/>
      <c r="C14" s="884" t="s">
        <v>1124</v>
      </c>
      <c r="D14" s="885">
        <f>SUM(D6:D13)</f>
        <v>0</v>
      </c>
      <c r="E14" s="885">
        <f t="shared" ref="E14:G14" si="3">SUM(E6:E13)</f>
        <v>0</v>
      </c>
      <c r="F14" s="885">
        <f t="shared" si="3"/>
        <v>0</v>
      </c>
      <c r="G14" s="886">
        <f t="shared" si="3"/>
        <v>0</v>
      </c>
      <c r="H14" s="894"/>
      <c r="I14" s="894"/>
      <c r="J14" s="874">
        <f>SUM(J6:J13)</f>
        <v>0</v>
      </c>
      <c r="K14" s="875"/>
      <c r="L14" s="876">
        <f>SUM(L6:L13)</f>
        <v>0</v>
      </c>
      <c r="M14" s="896"/>
      <c r="N14" s="874">
        <f>SUM(N6:N13)</f>
        <v>0</v>
      </c>
      <c r="O14" s="875"/>
      <c r="P14" s="876">
        <f>SUM(P6:P13)</f>
        <v>0</v>
      </c>
    </row>
    <row r="15" spans="2:16" ht="13.5" thickBot="1">
      <c r="B15" s="2088" t="s">
        <v>1128</v>
      </c>
      <c r="C15" s="843" t="str">
        <f>C6</f>
        <v>北</v>
      </c>
      <c r="D15" s="844">
        <f>結果!H71</f>
        <v>0</v>
      </c>
      <c r="E15" s="844">
        <f>結果!J71</f>
        <v>0</v>
      </c>
      <c r="F15" s="844">
        <f>結果!L71</f>
        <v>0</v>
      </c>
      <c r="G15" s="845">
        <f>結果!Q71</f>
        <v>0</v>
      </c>
      <c r="H15" s="1010"/>
      <c r="I15" s="1010"/>
      <c r="J15" s="894"/>
      <c r="K15" s="894"/>
      <c r="L15" s="894"/>
      <c r="M15" s="896"/>
      <c r="N15" s="896"/>
      <c r="O15" s="896"/>
      <c r="P15" s="897"/>
    </row>
    <row r="16" spans="2:16" ht="13" customHeight="1">
      <c r="B16" s="2077"/>
      <c r="C16" s="846" t="str">
        <f t="shared" ref="C16:C32" si="4">C7</f>
        <v>北東</v>
      </c>
      <c r="D16" s="847">
        <f>結果!H72</f>
        <v>0</v>
      </c>
      <c r="E16" s="847">
        <f>結果!J72</f>
        <v>0</v>
      </c>
      <c r="F16" s="847">
        <f>結果!L72</f>
        <v>0</v>
      </c>
      <c r="G16" s="848">
        <f>結果!Q72</f>
        <v>0</v>
      </c>
      <c r="H16" s="1010"/>
      <c r="I16" s="1010"/>
      <c r="J16" s="2084" t="s">
        <v>1125</v>
      </c>
      <c r="K16" s="2084" t="s">
        <v>1389</v>
      </c>
      <c r="L16" s="2084" t="s">
        <v>1126</v>
      </c>
      <c r="M16" s="896"/>
      <c r="N16" s="2084" t="s">
        <v>1127</v>
      </c>
      <c r="O16" s="2084" t="s">
        <v>1389</v>
      </c>
      <c r="P16" s="2084" t="s">
        <v>1390</v>
      </c>
    </row>
    <row r="17" spans="2:16">
      <c r="B17" s="2077"/>
      <c r="C17" s="846" t="str">
        <f t="shared" si="4"/>
        <v>東</v>
      </c>
      <c r="D17" s="847">
        <f>結果!H73</f>
        <v>0</v>
      </c>
      <c r="E17" s="847">
        <f>結果!J73</f>
        <v>0</v>
      </c>
      <c r="F17" s="847">
        <f>結果!L73</f>
        <v>0</v>
      </c>
      <c r="G17" s="848">
        <f>結果!Q73</f>
        <v>0</v>
      </c>
      <c r="H17" s="1010"/>
      <c r="I17" s="1010"/>
      <c r="J17" s="2085"/>
      <c r="K17" s="2085"/>
      <c r="L17" s="2085"/>
      <c r="M17" s="896"/>
      <c r="N17" s="2085"/>
      <c r="O17" s="2085"/>
      <c r="P17" s="2085"/>
    </row>
    <row r="18" spans="2:16">
      <c r="B18" s="2077"/>
      <c r="C18" s="846" t="str">
        <f t="shared" si="4"/>
        <v>南東</v>
      </c>
      <c r="D18" s="847">
        <f>結果!H74</f>
        <v>0</v>
      </c>
      <c r="E18" s="847">
        <f>結果!J74</f>
        <v>0</v>
      </c>
      <c r="F18" s="847">
        <f>結果!L74</f>
        <v>0</v>
      </c>
      <c r="G18" s="848">
        <f>結果!Q74</f>
        <v>0</v>
      </c>
      <c r="H18" s="1010"/>
      <c r="I18" s="1010"/>
      <c r="J18" s="2085"/>
      <c r="K18" s="2085"/>
      <c r="L18" s="2085"/>
      <c r="M18" s="896"/>
      <c r="N18" s="2085"/>
      <c r="O18" s="2085"/>
      <c r="P18" s="2085"/>
    </row>
    <row r="19" spans="2:16">
      <c r="B19" s="2077"/>
      <c r="C19" s="846" t="str">
        <f t="shared" si="4"/>
        <v>南</v>
      </c>
      <c r="D19" s="847">
        <f>結果!H75</f>
        <v>0</v>
      </c>
      <c r="E19" s="847">
        <f>結果!J75</f>
        <v>0</v>
      </c>
      <c r="F19" s="847">
        <f>結果!L75</f>
        <v>0</v>
      </c>
      <c r="G19" s="848">
        <f>結果!Q75</f>
        <v>0</v>
      </c>
      <c r="H19" s="1010"/>
      <c r="I19" s="1010"/>
      <c r="J19" s="2085"/>
      <c r="K19" s="2085"/>
      <c r="L19" s="2085"/>
      <c r="M19" s="896"/>
      <c r="N19" s="2085"/>
      <c r="O19" s="2085"/>
      <c r="P19" s="2085"/>
    </row>
    <row r="20" spans="2:16">
      <c r="B20" s="2077"/>
      <c r="C20" s="846" t="str">
        <f t="shared" si="4"/>
        <v>南西</v>
      </c>
      <c r="D20" s="847">
        <f>結果!H76</f>
        <v>0</v>
      </c>
      <c r="E20" s="847">
        <f>結果!J76</f>
        <v>0</v>
      </c>
      <c r="F20" s="847">
        <f>結果!L76</f>
        <v>0</v>
      </c>
      <c r="G20" s="848">
        <f>結果!Q76</f>
        <v>0</v>
      </c>
      <c r="H20" s="1010"/>
      <c r="I20" s="1010"/>
      <c r="J20" s="2085"/>
      <c r="K20" s="2085"/>
      <c r="L20" s="2085"/>
      <c r="M20" s="896"/>
      <c r="N20" s="2085"/>
      <c r="O20" s="2085"/>
      <c r="P20" s="2085"/>
    </row>
    <row r="21" spans="2:16">
      <c r="B21" s="2077"/>
      <c r="C21" s="846" t="str">
        <f t="shared" si="4"/>
        <v>西</v>
      </c>
      <c r="D21" s="847">
        <f>結果!H77</f>
        <v>0</v>
      </c>
      <c r="E21" s="847">
        <f>結果!J77</f>
        <v>0</v>
      </c>
      <c r="F21" s="847">
        <f>結果!L77</f>
        <v>0</v>
      </c>
      <c r="G21" s="848">
        <f>結果!Q77</f>
        <v>0</v>
      </c>
      <c r="H21" s="1010"/>
      <c r="I21" s="1010"/>
      <c r="J21" s="2085"/>
      <c r="K21" s="2085"/>
      <c r="L21" s="2085"/>
      <c r="M21" s="896"/>
      <c r="N21" s="2085"/>
      <c r="O21" s="2085"/>
      <c r="P21" s="2085"/>
    </row>
    <row r="22" spans="2:16" ht="13.5" thickBot="1">
      <c r="B22" s="2077"/>
      <c r="C22" s="849" t="str">
        <f t="shared" si="4"/>
        <v>北西</v>
      </c>
      <c r="D22" s="850">
        <f>結果!H78</f>
        <v>0</v>
      </c>
      <c r="E22" s="850">
        <f>結果!J78</f>
        <v>0</v>
      </c>
      <c r="F22" s="850">
        <f>結果!L78</f>
        <v>0</v>
      </c>
      <c r="G22" s="851">
        <f>結果!Q78</f>
        <v>0</v>
      </c>
      <c r="H22" s="1010"/>
      <c r="I22" s="1010"/>
      <c r="J22" s="2086"/>
      <c r="K22" s="2085"/>
      <c r="L22" s="2085"/>
      <c r="M22" s="896"/>
      <c r="N22" s="2085"/>
      <c r="O22" s="2085"/>
      <c r="P22" s="2085"/>
    </row>
    <row r="23" spans="2:16" ht="13" customHeight="1" thickBot="1">
      <c r="B23" s="2079"/>
      <c r="C23" s="852" t="str">
        <f t="shared" si="4"/>
        <v>合計</v>
      </c>
      <c r="D23" s="853">
        <f>SUM(D15:D22)</f>
        <v>0</v>
      </c>
      <c r="E23" s="853">
        <f t="shared" ref="E23:G23" si="5">SUM(E15:E22)</f>
        <v>0</v>
      </c>
      <c r="F23" s="853">
        <f t="shared" si="5"/>
        <v>0</v>
      </c>
      <c r="G23" s="854">
        <f t="shared" si="5"/>
        <v>0</v>
      </c>
      <c r="H23" s="1010"/>
      <c r="I23" s="1010"/>
      <c r="J23" s="855" t="str">
        <f>IF(D32&gt;=D33,"９時",IF(E32&gt;=D33,"１２時","１５時"))</f>
        <v>９時</v>
      </c>
      <c r="K23" s="2087"/>
      <c r="L23" s="2087"/>
      <c r="M23" s="896"/>
      <c r="N23" s="999"/>
      <c r="O23" s="2087"/>
      <c r="P23" s="2087"/>
    </row>
    <row r="24" spans="2:16">
      <c r="B24" s="2076" t="s">
        <v>1129</v>
      </c>
      <c r="C24" s="856" t="str">
        <f>C15</f>
        <v>北</v>
      </c>
      <c r="D24" s="844">
        <f>D6-D15</f>
        <v>0</v>
      </c>
      <c r="E24" s="844">
        <f t="shared" ref="E24:G24" si="6">E6-E15</f>
        <v>0</v>
      </c>
      <c r="F24" s="844">
        <f t="shared" si="6"/>
        <v>0</v>
      </c>
      <c r="G24" s="845">
        <f t="shared" si="6"/>
        <v>0</v>
      </c>
      <c r="H24" s="1010"/>
      <c r="I24" s="1010"/>
      <c r="J24" s="857">
        <f>IF(D32&gt;=D33,D24,IF(E32&gt;=D33,E24,F24))</f>
        <v>0</v>
      </c>
      <c r="K24" s="858">
        <f>温度条件他根拠!C36</f>
        <v>0</v>
      </c>
      <c r="L24" s="859">
        <f>K24*J24</f>
        <v>0</v>
      </c>
      <c r="M24" s="896"/>
      <c r="N24" s="860">
        <f>G24</f>
        <v>0</v>
      </c>
      <c r="O24" s="858">
        <f>K24</f>
        <v>0</v>
      </c>
      <c r="P24" s="859">
        <f>O24*N24</f>
        <v>0</v>
      </c>
    </row>
    <row r="25" spans="2:16">
      <c r="B25" s="2077"/>
      <c r="C25" s="861" t="str">
        <f t="shared" si="4"/>
        <v>北東</v>
      </c>
      <c r="D25" s="847">
        <f t="shared" ref="D25:G31" si="7">D7-D16</f>
        <v>0</v>
      </c>
      <c r="E25" s="847">
        <f t="shared" si="7"/>
        <v>0</v>
      </c>
      <c r="F25" s="847">
        <f t="shared" si="7"/>
        <v>0</v>
      </c>
      <c r="G25" s="848">
        <f t="shared" si="7"/>
        <v>0</v>
      </c>
      <c r="H25" s="1010"/>
      <c r="I25" s="1010"/>
      <c r="J25" s="862">
        <f>IF(D32&gt;=D33,D25,IF(E32&gt;=D33,E25,F25))</f>
        <v>0</v>
      </c>
      <c r="K25" s="863">
        <f>温度条件他根拠!D36</f>
        <v>2.5</v>
      </c>
      <c r="L25" s="864">
        <f t="shared" ref="L25:L31" si="8">K25*J25</f>
        <v>0</v>
      </c>
      <c r="M25" s="896"/>
      <c r="N25" s="865">
        <f>G25</f>
        <v>0</v>
      </c>
      <c r="O25" s="863">
        <f>K25</f>
        <v>2.5</v>
      </c>
      <c r="P25" s="864">
        <f t="shared" ref="P25:P31" si="9">O25*N25</f>
        <v>0</v>
      </c>
    </row>
    <row r="26" spans="2:16">
      <c r="B26" s="2077"/>
      <c r="C26" s="861" t="str">
        <f t="shared" si="4"/>
        <v>東</v>
      </c>
      <c r="D26" s="847">
        <f t="shared" si="7"/>
        <v>0</v>
      </c>
      <c r="E26" s="847">
        <f t="shared" si="7"/>
        <v>0</v>
      </c>
      <c r="F26" s="847">
        <f t="shared" si="7"/>
        <v>0</v>
      </c>
      <c r="G26" s="848">
        <f t="shared" si="7"/>
        <v>0</v>
      </c>
      <c r="H26" s="1010"/>
      <c r="I26" s="1010"/>
      <c r="J26" s="862">
        <f>IF(D32&gt;=D33,D26,IF(E32&gt;=D33,E26,F26))</f>
        <v>0</v>
      </c>
      <c r="K26" s="863">
        <f>温度条件他根拠!E36</f>
        <v>3.5</v>
      </c>
      <c r="L26" s="864">
        <f t="shared" si="8"/>
        <v>0</v>
      </c>
      <c r="M26" s="896"/>
      <c r="N26" s="865">
        <f t="shared" ref="N26:N31" si="10">G26</f>
        <v>0</v>
      </c>
      <c r="O26" s="863">
        <f t="shared" ref="O26:O31" si="11">K26</f>
        <v>3.5</v>
      </c>
      <c r="P26" s="864">
        <f t="shared" si="9"/>
        <v>0</v>
      </c>
    </row>
    <row r="27" spans="2:16">
      <c r="B27" s="2077"/>
      <c r="C27" s="861" t="str">
        <f t="shared" si="4"/>
        <v>南東</v>
      </c>
      <c r="D27" s="847">
        <f t="shared" si="7"/>
        <v>0</v>
      </c>
      <c r="E27" s="847">
        <f t="shared" si="7"/>
        <v>0</v>
      </c>
      <c r="F27" s="847">
        <f t="shared" si="7"/>
        <v>0</v>
      </c>
      <c r="G27" s="848">
        <f t="shared" si="7"/>
        <v>0</v>
      </c>
      <c r="H27" s="1010"/>
      <c r="I27" s="1010"/>
      <c r="J27" s="862">
        <f>IF(D32&gt;=D33,D27,IF(E32&gt;=D33,E27,F27))</f>
        <v>0</v>
      </c>
      <c r="K27" s="863">
        <f>温度条件他根拠!F36</f>
        <v>4.5</v>
      </c>
      <c r="L27" s="864">
        <f t="shared" si="8"/>
        <v>0</v>
      </c>
      <c r="M27" s="896"/>
      <c r="N27" s="865">
        <f t="shared" si="10"/>
        <v>0</v>
      </c>
      <c r="O27" s="863">
        <f t="shared" si="11"/>
        <v>4.5</v>
      </c>
      <c r="P27" s="864">
        <f t="shared" si="9"/>
        <v>0</v>
      </c>
    </row>
    <row r="28" spans="2:16">
      <c r="B28" s="2077"/>
      <c r="C28" s="861" t="str">
        <f t="shared" si="4"/>
        <v>南</v>
      </c>
      <c r="D28" s="847">
        <f t="shared" si="7"/>
        <v>0</v>
      </c>
      <c r="E28" s="847">
        <f t="shared" si="7"/>
        <v>0</v>
      </c>
      <c r="F28" s="847">
        <f t="shared" si="7"/>
        <v>0</v>
      </c>
      <c r="G28" s="848">
        <f t="shared" si="7"/>
        <v>0</v>
      </c>
      <c r="H28" s="1010"/>
      <c r="I28" s="1010"/>
      <c r="J28" s="862">
        <f>IF(D32&gt;=D33,D28,IF(E32&gt;=D33,E28,F28))</f>
        <v>0</v>
      </c>
      <c r="K28" s="866">
        <f>温度条件他根拠!G36</f>
        <v>5</v>
      </c>
      <c r="L28" s="864">
        <f t="shared" si="8"/>
        <v>0</v>
      </c>
      <c r="M28" s="896"/>
      <c r="N28" s="865">
        <f t="shared" si="10"/>
        <v>0</v>
      </c>
      <c r="O28" s="866">
        <f t="shared" si="11"/>
        <v>5</v>
      </c>
      <c r="P28" s="864">
        <f t="shared" si="9"/>
        <v>0</v>
      </c>
    </row>
    <row r="29" spans="2:16">
      <c r="B29" s="2077"/>
      <c r="C29" s="861" t="str">
        <f t="shared" si="4"/>
        <v>南西</v>
      </c>
      <c r="D29" s="847">
        <f t="shared" si="7"/>
        <v>0</v>
      </c>
      <c r="E29" s="847">
        <f t="shared" si="7"/>
        <v>0</v>
      </c>
      <c r="F29" s="847">
        <f t="shared" si="7"/>
        <v>0</v>
      </c>
      <c r="G29" s="848">
        <f t="shared" si="7"/>
        <v>0</v>
      </c>
      <c r="H29" s="1010"/>
      <c r="I29" s="1010"/>
      <c r="J29" s="862">
        <f>IF(D32&gt;=D33,D29,IF(E32&gt;=D33,E29,F29))</f>
        <v>0</v>
      </c>
      <c r="K29" s="863">
        <f>温度条件他根拠!H36</f>
        <v>4.5</v>
      </c>
      <c r="L29" s="864">
        <f t="shared" si="8"/>
        <v>0</v>
      </c>
      <c r="M29" s="896"/>
      <c r="N29" s="865">
        <f t="shared" si="10"/>
        <v>0</v>
      </c>
      <c r="O29" s="863">
        <f t="shared" si="11"/>
        <v>4.5</v>
      </c>
      <c r="P29" s="864">
        <f t="shared" si="9"/>
        <v>0</v>
      </c>
    </row>
    <row r="30" spans="2:16">
      <c r="B30" s="2077"/>
      <c r="C30" s="861" t="str">
        <f t="shared" si="4"/>
        <v>西</v>
      </c>
      <c r="D30" s="847">
        <f t="shared" si="7"/>
        <v>0</v>
      </c>
      <c r="E30" s="847">
        <f t="shared" si="7"/>
        <v>0</v>
      </c>
      <c r="F30" s="847">
        <f t="shared" si="7"/>
        <v>0</v>
      </c>
      <c r="G30" s="848">
        <f t="shared" si="7"/>
        <v>0</v>
      </c>
      <c r="H30" s="1010"/>
      <c r="I30" s="1010"/>
      <c r="J30" s="862">
        <f>IF(D32&gt;=D33,D30,IF(E32&gt;=D33,E30,F30))</f>
        <v>0</v>
      </c>
      <c r="K30" s="863">
        <f>温度条件他根拠!I36</f>
        <v>3.5</v>
      </c>
      <c r="L30" s="864">
        <f t="shared" si="8"/>
        <v>0</v>
      </c>
      <c r="M30" s="896"/>
      <c r="N30" s="865">
        <f t="shared" si="10"/>
        <v>0</v>
      </c>
      <c r="O30" s="863">
        <f t="shared" si="11"/>
        <v>3.5</v>
      </c>
      <c r="P30" s="864">
        <f t="shared" si="9"/>
        <v>0</v>
      </c>
    </row>
    <row r="31" spans="2:16" ht="13.5" thickBot="1">
      <c r="B31" s="2077"/>
      <c r="C31" s="867" t="str">
        <f t="shared" si="4"/>
        <v>北西</v>
      </c>
      <c r="D31" s="850">
        <f t="shared" si="7"/>
        <v>0</v>
      </c>
      <c r="E31" s="850">
        <f t="shared" si="7"/>
        <v>0</v>
      </c>
      <c r="F31" s="850">
        <f t="shared" si="7"/>
        <v>0</v>
      </c>
      <c r="G31" s="851">
        <f t="shared" si="7"/>
        <v>0</v>
      </c>
      <c r="H31" s="1010"/>
      <c r="I31" s="1010"/>
      <c r="J31" s="868">
        <f>IF(D32&gt;=D33,D31,IF(E32&gt;=D33,E31,F31))</f>
        <v>0</v>
      </c>
      <c r="K31" s="869">
        <f>温度条件他根拠!J36</f>
        <v>2.5</v>
      </c>
      <c r="L31" s="870">
        <f t="shared" si="8"/>
        <v>0</v>
      </c>
      <c r="M31" s="896"/>
      <c r="N31" s="865">
        <f t="shared" si="10"/>
        <v>0</v>
      </c>
      <c r="O31" s="863">
        <f t="shared" si="11"/>
        <v>2.5</v>
      </c>
      <c r="P31" s="870">
        <f t="shared" si="9"/>
        <v>0</v>
      </c>
    </row>
    <row r="32" spans="2:16" ht="13.5" thickBot="1">
      <c r="B32" s="2078"/>
      <c r="C32" s="871" t="str">
        <f t="shared" si="4"/>
        <v>合計</v>
      </c>
      <c r="D32" s="872">
        <f>SUM(D24:D31)</f>
        <v>0</v>
      </c>
      <c r="E32" s="872">
        <f t="shared" ref="E32:G32" si="12">SUM(E24:E31)</f>
        <v>0</v>
      </c>
      <c r="F32" s="872">
        <f t="shared" si="12"/>
        <v>0</v>
      </c>
      <c r="G32" s="873">
        <f t="shared" si="12"/>
        <v>0</v>
      </c>
      <c r="H32" s="1010"/>
      <c r="I32" s="1010"/>
      <c r="J32" s="874">
        <f>SUM(J24:J31)</f>
        <v>0</v>
      </c>
      <c r="K32" s="875"/>
      <c r="L32" s="876">
        <f>SUM(L24:L31)</f>
        <v>0</v>
      </c>
      <c r="M32" s="896"/>
      <c r="N32" s="874">
        <f>SUM(N24:N31)</f>
        <v>0</v>
      </c>
      <c r="O32" s="875"/>
      <c r="P32" s="876">
        <f>SUM(P24:P31)</f>
        <v>0</v>
      </c>
    </row>
    <row r="33" spans="2:30" ht="13.5" thickBot="1">
      <c r="B33" s="2079"/>
      <c r="C33" s="871" t="s">
        <v>1130</v>
      </c>
      <c r="D33" s="2081">
        <f>MAX(D32:F32)</f>
        <v>0</v>
      </c>
      <c r="E33" s="2082"/>
      <c r="F33" s="2083"/>
      <c r="G33" s="873">
        <f>G32</f>
        <v>0</v>
      </c>
      <c r="H33" s="894"/>
      <c r="I33" s="894"/>
      <c r="J33" s="894"/>
      <c r="K33" s="894"/>
      <c r="L33" s="894"/>
      <c r="M33" s="896"/>
      <c r="N33" s="896"/>
      <c r="O33" s="896"/>
      <c r="P33" s="897"/>
    </row>
    <row r="34" spans="2:30">
      <c r="B34" s="888"/>
      <c r="C34" s="889"/>
      <c r="D34" s="887"/>
      <c r="E34" s="81"/>
      <c r="F34" s="81"/>
      <c r="G34" s="81"/>
      <c r="H34" s="81"/>
      <c r="I34" s="81"/>
      <c r="J34" s="81"/>
      <c r="K34" s="81"/>
      <c r="L34" s="81"/>
      <c r="M34" s="81"/>
      <c r="N34" s="81"/>
      <c r="O34" s="81"/>
    </row>
    <row r="35" spans="2:30">
      <c r="B35" s="888"/>
      <c r="C35" s="889"/>
      <c r="D35" s="887"/>
      <c r="E35" s="81"/>
      <c r="F35" s="81"/>
      <c r="G35" s="81"/>
      <c r="H35" s="81"/>
      <c r="I35" s="81"/>
      <c r="J35" s="81"/>
      <c r="K35" s="81"/>
      <c r="L35" s="81"/>
      <c r="M35" s="81"/>
      <c r="N35" s="81"/>
      <c r="O35" s="81"/>
    </row>
    <row r="36" spans="2:30">
      <c r="B36" s="888"/>
      <c r="C36" s="889"/>
      <c r="D36" s="887"/>
      <c r="E36" s="81"/>
      <c r="F36" s="81"/>
      <c r="G36" s="81"/>
      <c r="H36" s="81"/>
      <c r="I36" s="81"/>
      <c r="J36" s="81"/>
      <c r="K36" s="81"/>
      <c r="L36" s="81"/>
      <c r="M36" s="81"/>
      <c r="N36" s="81"/>
      <c r="O36" s="81"/>
    </row>
    <row r="37" spans="2:30">
      <c r="B37" s="888"/>
      <c r="C37" s="889"/>
      <c r="D37" s="887"/>
      <c r="E37" s="81"/>
      <c r="F37" s="81"/>
      <c r="G37" s="81"/>
      <c r="H37" s="81"/>
      <c r="I37" s="81"/>
      <c r="J37" s="81"/>
      <c r="K37" s="81"/>
      <c r="L37" s="81"/>
      <c r="M37" s="81"/>
      <c r="N37" s="81"/>
      <c r="O37" s="81"/>
    </row>
    <row r="38" spans="2:30">
      <c r="B38" s="888"/>
      <c r="C38" s="889"/>
      <c r="D38" s="887"/>
      <c r="E38" s="81"/>
      <c r="F38" s="81"/>
      <c r="G38" s="81"/>
      <c r="H38" s="81"/>
      <c r="I38" s="81"/>
      <c r="J38" s="81"/>
      <c r="K38" s="81"/>
      <c r="L38" s="81"/>
      <c r="M38" s="81"/>
      <c r="N38" s="81"/>
      <c r="O38" s="81"/>
    </row>
    <row r="39" spans="2:30">
      <c r="B39" s="888"/>
      <c r="C39" s="889"/>
      <c r="D39" s="887"/>
      <c r="E39" s="81"/>
      <c r="F39" s="81"/>
      <c r="G39" s="81"/>
      <c r="H39" s="81"/>
      <c r="I39" s="81"/>
      <c r="J39" s="81"/>
      <c r="K39" s="81"/>
      <c r="L39" s="81"/>
      <c r="M39" s="81"/>
      <c r="N39" s="81"/>
      <c r="O39" s="81"/>
    </row>
    <row r="40" spans="2:30">
      <c r="B40" s="888"/>
      <c r="C40" s="889"/>
      <c r="D40" s="887"/>
      <c r="E40" s="81"/>
      <c r="F40" s="81"/>
      <c r="G40" s="81"/>
      <c r="H40" s="81"/>
      <c r="I40" s="81"/>
      <c r="J40" s="81"/>
      <c r="K40" s="81"/>
      <c r="L40" s="81"/>
      <c r="M40" s="81"/>
      <c r="N40" s="81"/>
      <c r="O40" s="81"/>
    </row>
    <row r="41" spans="2:30">
      <c r="B41" s="888"/>
      <c r="C41" s="889"/>
      <c r="D41" s="887"/>
      <c r="E41" s="81"/>
      <c r="F41" s="81"/>
      <c r="G41" s="81"/>
      <c r="H41" s="81"/>
      <c r="I41" s="81"/>
      <c r="J41" s="81"/>
      <c r="K41" s="81"/>
      <c r="L41" s="81"/>
      <c r="M41" s="81"/>
      <c r="N41" s="81"/>
      <c r="O41" s="81"/>
    </row>
    <row r="42" spans="2:30">
      <c r="B42" s="888"/>
      <c r="C42" s="889"/>
      <c r="D42" s="887"/>
      <c r="E42" s="81"/>
      <c r="F42" s="81"/>
      <c r="G42" s="81"/>
      <c r="H42" s="81"/>
      <c r="I42" s="81"/>
      <c r="J42" s="81"/>
      <c r="K42" s="81"/>
      <c r="L42" s="81"/>
      <c r="M42" s="81"/>
      <c r="N42" s="81"/>
      <c r="O42" s="81"/>
    </row>
    <row r="43" spans="2:30">
      <c r="B43" s="888"/>
      <c r="C43" s="889"/>
      <c r="D43" s="887"/>
      <c r="E43" s="81"/>
      <c r="F43" s="81"/>
      <c r="G43" s="81"/>
      <c r="H43" s="81"/>
      <c r="I43" s="81"/>
      <c r="J43" s="81"/>
      <c r="K43" s="81"/>
      <c r="L43" s="81"/>
      <c r="M43" s="81"/>
      <c r="N43" s="81"/>
      <c r="O43" s="81"/>
    </row>
    <row r="44" spans="2:30">
      <c r="B44" s="888"/>
      <c r="C44" s="889"/>
      <c r="D44" s="887"/>
      <c r="E44" s="81"/>
      <c r="F44" s="81"/>
      <c r="G44" s="81"/>
      <c r="H44" s="81"/>
      <c r="I44" s="81"/>
      <c r="J44" s="81"/>
      <c r="K44" s="81"/>
      <c r="L44" s="81"/>
      <c r="M44" s="81"/>
      <c r="N44" s="81"/>
      <c r="O44" s="81"/>
    </row>
    <row r="45" spans="2:30">
      <c r="B45" s="2080" t="s">
        <v>183</v>
      </c>
      <c r="C45" s="2080"/>
      <c r="D45" s="2080"/>
      <c r="E45" s="2080"/>
      <c r="F45" s="2080"/>
      <c r="G45" s="2080"/>
      <c r="H45" s="2080"/>
      <c r="I45" s="2080"/>
      <c r="J45" s="2080"/>
      <c r="K45" s="2080"/>
      <c r="L45" s="2080"/>
      <c r="M45" s="2080"/>
      <c r="N45" s="2080"/>
      <c r="O45" s="2080"/>
      <c r="Q45" s="1" t="s">
        <v>563</v>
      </c>
    </row>
    <row r="46" spans="2:30" ht="36">
      <c r="B46" s="801" t="s">
        <v>0</v>
      </c>
      <c r="C46" s="814" t="s">
        <v>1117</v>
      </c>
      <c r="D46" s="814" t="s">
        <v>1118</v>
      </c>
      <c r="E46" s="814" t="s">
        <v>1116</v>
      </c>
      <c r="F46" s="20" t="s">
        <v>42</v>
      </c>
      <c r="G46" s="20" t="s">
        <v>43</v>
      </c>
      <c r="H46" s="18" t="s">
        <v>35</v>
      </c>
      <c r="I46" s="20" t="s">
        <v>36</v>
      </c>
      <c r="J46" s="20" t="s">
        <v>2</v>
      </c>
      <c r="K46" s="20" t="s">
        <v>3</v>
      </c>
      <c r="L46" s="20" t="s">
        <v>39</v>
      </c>
      <c r="M46" s="20" t="s">
        <v>38</v>
      </c>
      <c r="N46" s="20" t="s">
        <v>45</v>
      </c>
      <c r="O46" s="20" t="s">
        <v>44</v>
      </c>
      <c r="Q46" s="554" t="s">
        <v>0</v>
      </c>
      <c r="R46" s="1017" t="s">
        <v>1391</v>
      </c>
      <c r="S46" s="1017" t="s">
        <v>1392</v>
      </c>
      <c r="T46" s="1017" t="s">
        <v>1116</v>
      </c>
      <c r="U46" s="20" t="s">
        <v>42</v>
      </c>
      <c r="V46" s="20" t="s">
        <v>43</v>
      </c>
      <c r="W46" s="18" t="s">
        <v>566</v>
      </c>
      <c r="X46" s="20" t="s">
        <v>567</v>
      </c>
      <c r="Y46" s="20" t="s">
        <v>2</v>
      </c>
      <c r="Z46" s="20" t="s">
        <v>3</v>
      </c>
      <c r="AA46" s="20" t="s">
        <v>568</v>
      </c>
      <c r="AB46" s="20" t="s">
        <v>569</v>
      </c>
      <c r="AC46" s="20" t="s">
        <v>570</v>
      </c>
      <c r="AD46" s="20" t="s">
        <v>571</v>
      </c>
    </row>
    <row r="47" spans="2:30" ht="36">
      <c r="B47" s="554" t="s">
        <v>14</v>
      </c>
      <c r="C47" s="20" t="s">
        <v>16</v>
      </c>
      <c r="D47" s="20" t="s">
        <v>17</v>
      </c>
      <c r="E47" s="20" t="s">
        <v>18</v>
      </c>
      <c r="F47" s="20" t="s">
        <v>19</v>
      </c>
      <c r="G47" s="20" t="s">
        <v>20</v>
      </c>
      <c r="H47" s="20" t="s">
        <v>30</v>
      </c>
      <c r="I47" s="20" t="s">
        <v>29</v>
      </c>
      <c r="J47" s="20" t="s">
        <v>21</v>
      </c>
      <c r="K47" s="20" t="s">
        <v>22</v>
      </c>
      <c r="L47" s="688" t="s">
        <v>608</v>
      </c>
      <c r="M47" s="688" t="s">
        <v>607</v>
      </c>
      <c r="N47" s="555" t="s">
        <v>25</v>
      </c>
      <c r="O47" s="20" t="s">
        <v>32</v>
      </c>
      <c r="Q47" s="554" t="s">
        <v>14</v>
      </c>
      <c r="R47" s="20" t="s">
        <v>16</v>
      </c>
      <c r="S47" s="20" t="s">
        <v>17</v>
      </c>
      <c r="T47" s="20" t="s">
        <v>18</v>
      </c>
      <c r="U47" s="20" t="s">
        <v>19</v>
      </c>
      <c r="V47" s="20" t="s">
        <v>20</v>
      </c>
      <c r="W47" s="20" t="s">
        <v>30</v>
      </c>
      <c r="X47" s="20" t="s">
        <v>29</v>
      </c>
      <c r="Y47" s="20" t="s">
        <v>21</v>
      </c>
      <c r="Z47" s="20" t="s">
        <v>22</v>
      </c>
      <c r="AA47" s="688" t="s">
        <v>608</v>
      </c>
      <c r="AB47" s="688" t="s">
        <v>607</v>
      </c>
      <c r="AC47" s="555" t="s">
        <v>25</v>
      </c>
      <c r="AD47" s="20" t="s">
        <v>32</v>
      </c>
    </row>
    <row r="48" spans="2:30">
      <c r="B48" s="553" t="s">
        <v>15</v>
      </c>
      <c r="C48" s="835" t="s">
        <v>1115</v>
      </c>
      <c r="D48" s="835" t="s">
        <v>1115</v>
      </c>
      <c r="E48" s="835" t="s">
        <v>172</v>
      </c>
      <c r="F48" s="5" t="s">
        <v>10</v>
      </c>
      <c r="G48" s="5" t="s">
        <v>10</v>
      </c>
      <c r="H48" s="5" t="s">
        <v>11</v>
      </c>
      <c r="I48" s="5" t="s">
        <v>11</v>
      </c>
      <c r="J48" s="5" t="s">
        <v>10</v>
      </c>
      <c r="K48" s="5" t="s">
        <v>10</v>
      </c>
      <c r="L48" s="5" t="s">
        <v>11</v>
      </c>
      <c r="M48" s="5" t="s">
        <v>11</v>
      </c>
      <c r="N48" s="5" t="s">
        <v>11</v>
      </c>
      <c r="O48" s="553" t="s">
        <v>31</v>
      </c>
      <c r="Q48" s="553" t="s">
        <v>15</v>
      </c>
      <c r="R48" s="835" t="s">
        <v>1115</v>
      </c>
      <c r="S48" s="835" t="s">
        <v>1115</v>
      </c>
      <c r="T48" s="835" t="s">
        <v>172</v>
      </c>
      <c r="U48" s="5" t="s">
        <v>10</v>
      </c>
      <c r="V48" s="5" t="s">
        <v>10</v>
      </c>
      <c r="W48" s="5" t="s">
        <v>11</v>
      </c>
      <c r="X48" s="5" t="s">
        <v>11</v>
      </c>
      <c r="Y48" s="5" t="s">
        <v>10</v>
      </c>
      <c r="Z48" s="5" t="s">
        <v>10</v>
      </c>
      <c r="AA48" s="5" t="s">
        <v>11</v>
      </c>
      <c r="AB48" s="5" t="s">
        <v>11</v>
      </c>
      <c r="AC48" s="5" t="s">
        <v>11</v>
      </c>
      <c r="AD48" s="553" t="s">
        <v>31</v>
      </c>
    </row>
    <row r="49" spans="2:30">
      <c r="B49" s="553">
        <v>1</v>
      </c>
      <c r="C49" s="3"/>
      <c r="D49" s="836">
        <f>P32</f>
        <v>0</v>
      </c>
      <c r="E49" s="837">
        <f>温度条件他根拠!E21</f>
        <v>0</v>
      </c>
      <c r="F49" s="838">
        <v>0</v>
      </c>
      <c r="G49" s="839">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553">
        <v>1</v>
      </c>
      <c r="R49" s="3"/>
      <c r="S49" s="836">
        <f>P14</f>
        <v>0</v>
      </c>
      <c r="T49" s="837">
        <f>温度条件他根拠!E21</f>
        <v>0</v>
      </c>
      <c r="U49" s="838">
        <f>F49</f>
        <v>0</v>
      </c>
      <c r="V49" s="1001">
        <f>G49</f>
        <v>0.79999999999999993</v>
      </c>
      <c r="W49" s="7">
        <f t="shared" ref="W49:W60" si="14">$R$56*T49*U49/1000</f>
        <v>0</v>
      </c>
      <c r="X49" s="7">
        <f t="shared" ref="X49:X60"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553">
        <v>2</v>
      </c>
      <c r="C50" s="3"/>
      <c r="D50" s="3"/>
      <c r="E50" s="838">
        <f>E49</f>
        <v>0</v>
      </c>
      <c r="F50" s="838">
        <v>0</v>
      </c>
      <c r="G50" s="839">
        <f>0.8*(温度条件他根拠!$D$10--0.6)/(温度条件他根拠!$D$10-温度条件他根拠!$D$8)</f>
        <v>0.7665116279069768</v>
      </c>
      <c r="H50" s="7">
        <f t="shared" ref="H50:H60" si="17">$C$56*E50*F50/1000</f>
        <v>0</v>
      </c>
      <c r="I50" s="7">
        <f t="shared" ref="I50:I60" si="18">G50*E50*$D$49/1000</f>
        <v>0</v>
      </c>
      <c r="J50" s="6">
        <f>温度条件他根拠!$C$61</f>
        <v>3.55</v>
      </c>
      <c r="K50" s="6">
        <f>温度条件他根拠!$C$62</f>
        <v>3.95</v>
      </c>
      <c r="L50" s="7">
        <f t="shared" si="13"/>
        <v>0</v>
      </c>
      <c r="M50" s="7">
        <f t="shared" si="13"/>
        <v>0</v>
      </c>
      <c r="N50" s="13">
        <f t="shared" ref="N50:N60" si="19">L50+M50</f>
        <v>0</v>
      </c>
      <c r="O50" s="12">
        <f t="shared" ref="O50:O60" si="20">N50*0.495/1000</f>
        <v>0</v>
      </c>
      <c r="Q50" s="553">
        <v>2</v>
      </c>
      <c r="R50" s="3"/>
      <c r="S50" s="3"/>
      <c r="T50" s="838">
        <f>T49</f>
        <v>0</v>
      </c>
      <c r="U50" s="838">
        <f t="shared" ref="U50:V60" si="21">F50</f>
        <v>0</v>
      </c>
      <c r="V50" s="1001">
        <f t="shared" si="21"/>
        <v>0.7665116279069768</v>
      </c>
      <c r="W50" s="7">
        <f t="shared" si="14"/>
        <v>0</v>
      </c>
      <c r="X50" s="7">
        <f t="shared" si="15"/>
        <v>0</v>
      </c>
      <c r="Y50" s="6">
        <f>温度条件他根拠!$C$61</f>
        <v>3.55</v>
      </c>
      <c r="Z50" s="6">
        <f>温度条件他根拠!$C$62</f>
        <v>3.95</v>
      </c>
      <c r="AA50" s="7">
        <f t="shared" si="16"/>
        <v>0</v>
      </c>
      <c r="AB50" s="7">
        <f t="shared" si="16"/>
        <v>0</v>
      </c>
      <c r="AC50" s="13">
        <f t="shared" ref="AC50:AC60" si="22">AA50+AB50</f>
        <v>0</v>
      </c>
      <c r="AD50" s="12">
        <f t="shared" ref="AD50:AD60" si="23">AC50*0.495/1000</f>
        <v>0</v>
      </c>
    </row>
    <row r="51" spans="2:30">
      <c r="B51" s="553">
        <v>3</v>
      </c>
      <c r="C51" s="3"/>
      <c r="D51" s="3"/>
      <c r="E51" s="838">
        <f t="shared" ref="E51:E60" si="24">E50</f>
        <v>0</v>
      </c>
      <c r="F51" s="838">
        <v>0</v>
      </c>
      <c r="G51" s="839">
        <f>0.8*(温度条件他根拠!$D$10-2.8)/(温度条件他根拠!$D$10-温度条件他根拠!$D$8)</f>
        <v>0.64</v>
      </c>
      <c r="H51" s="7">
        <f t="shared" si="17"/>
        <v>0</v>
      </c>
      <c r="I51" s="7">
        <f t="shared" si="18"/>
        <v>0</v>
      </c>
      <c r="J51" s="6">
        <f>温度条件他根拠!$C$61</f>
        <v>3.55</v>
      </c>
      <c r="K51" s="6">
        <f>温度条件他根拠!$C$62</f>
        <v>3.95</v>
      </c>
      <c r="L51" s="7">
        <f t="shared" si="13"/>
        <v>0</v>
      </c>
      <c r="M51" s="7">
        <f t="shared" si="13"/>
        <v>0</v>
      </c>
      <c r="N51" s="13">
        <f t="shared" si="19"/>
        <v>0</v>
      </c>
      <c r="O51" s="12">
        <f t="shared" si="20"/>
        <v>0</v>
      </c>
      <c r="Q51" s="553">
        <v>3</v>
      </c>
      <c r="R51" s="3"/>
      <c r="S51" s="3"/>
      <c r="T51" s="838">
        <f t="shared" ref="T51:T60" si="25">T50</f>
        <v>0</v>
      </c>
      <c r="U51" s="838">
        <f t="shared" si="21"/>
        <v>0</v>
      </c>
      <c r="V51" s="1001">
        <f t="shared" si="21"/>
        <v>0.64</v>
      </c>
      <c r="W51" s="7">
        <f t="shared" si="14"/>
        <v>0</v>
      </c>
      <c r="X51" s="7">
        <f t="shared" si="15"/>
        <v>0</v>
      </c>
      <c r="Y51" s="6">
        <f>温度条件他根拠!$C$61</f>
        <v>3.55</v>
      </c>
      <c r="Z51" s="6">
        <f>温度条件他根拠!$C$62</f>
        <v>3.95</v>
      </c>
      <c r="AA51" s="7">
        <f t="shared" si="16"/>
        <v>0</v>
      </c>
      <c r="AB51" s="7">
        <f t="shared" si="16"/>
        <v>0</v>
      </c>
      <c r="AC51" s="13">
        <f t="shared" si="22"/>
        <v>0</v>
      </c>
      <c r="AD51" s="12">
        <f t="shared" si="23"/>
        <v>0</v>
      </c>
    </row>
    <row r="52" spans="2:30">
      <c r="B52" s="553">
        <v>4</v>
      </c>
      <c r="C52" s="3"/>
      <c r="D52" s="3"/>
      <c r="E52" s="838">
        <f t="shared" si="24"/>
        <v>0</v>
      </c>
      <c r="F52" s="838">
        <v>0</v>
      </c>
      <c r="G52" s="839">
        <f>0.8*(温度条件他根拠!$D$10-8.1)/(温度条件他根拠!$D$10-温度条件他根拠!$D$8)</f>
        <v>0.44279069767441864</v>
      </c>
      <c r="H52" s="7">
        <f t="shared" si="17"/>
        <v>0</v>
      </c>
      <c r="I52" s="7">
        <f t="shared" si="18"/>
        <v>0</v>
      </c>
      <c r="J52" s="6">
        <f>温度条件他根拠!$C$61</f>
        <v>3.55</v>
      </c>
      <c r="K52" s="6">
        <f>温度条件他根拠!$C$62</f>
        <v>3.95</v>
      </c>
      <c r="L52" s="7">
        <f t="shared" si="13"/>
        <v>0</v>
      </c>
      <c r="M52" s="7">
        <f t="shared" si="13"/>
        <v>0</v>
      </c>
      <c r="N52" s="13">
        <f t="shared" si="19"/>
        <v>0</v>
      </c>
      <c r="O52" s="12">
        <f t="shared" si="20"/>
        <v>0</v>
      </c>
      <c r="Q52" s="553">
        <v>4</v>
      </c>
      <c r="R52" s="3"/>
      <c r="S52" s="3"/>
      <c r="T52" s="838">
        <f t="shared" si="25"/>
        <v>0</v>
      </c>
      <c r="U52" s="838">
        <f t="shared" si="21"/>
        <v>0</v>
      </c>
      <c r="V52" s="1001">
        <f t="shared" si="21"/>
        <v>0.44279069767441864</v>
      </c>
      <c r="W52" s="7">
        <f t="shared" si="14"/>
        <v>0</v>
      </c>
      <c r="X52" s="7">
        <f t="shared" si="15"/>
        <v>0</v>
      </c>
      <c r="Y52" s="6">
        <f>温度条件他根拠!$C$61</f>
        <v>3.55</v>
      </c>
      <c r="Z52" s="6">
        <f>温度条件他根拠!$C$62</f>
        <v>3.95</v>
      </c>
      <c r="AA52" s="7">
        <f t="shared" si="16"/>
        <v>0</v>
      </c>
      <c r="AB52" s="7">
        <f t="shared" si="16"/>
        <v>0</v>
      </c>
      <c r="AC52" s="13">
        <f t="shared" si="22"/>
        <v>0</v>
      </c>
      <c r="AD52" s="12">
        <f t="shared" si="23"/>
        <v>0</v>
      </c>
    </row>
    <row r="53" spans="2:30">
      <c r="B53" s="553">
        <v>5</v>
      </c>
      <c r="C53" s="3"/>
      <c r="D53" s="3"/>
      <c r="E53" s="838">
        <f t="shared" si="24"/>
        <v>0</v>
      </c>
      <c r="F53" s="839">
        <f>0.175*(温度条件他根拠!$D$7-温度条件他根拠!$D$9)/(温度条件他根拠!$D$7-23.2)</f>
        <v>7.3795180722891554E-2</v>
      </c>
      <c r="G53" s="839">
        <f>0.2*(温度条件他根拠!$D$10-13.4)/(温度条件他根拠!$D$10-温度条件他根拠!$D$8)</f>
        <v>6.1395348837209304E-2</v>
      </c>
      <c r="H53" s="836">
        <f>$C$56*E53*F53/1000</f>
        <v>0</v>
      </c>
      <c r="I53" s="836">
        <f>G53*E53*$D$49/1000</f>
        <v>0</v>
      </c>
      <c r="J53" s="6">
        <f>温度条件他根拠!$C$61</f>
        <v>3.55</v>
      </c>
      <c r="K53" s="6">
        <f>温度条件他根拠!$C$62</f>
        <v>3.95</v>
      </c>
      <c r="L53" s="7">
        <f t="shared" si="13"/>
        <v>0</v>
      </c>
      <c r="M53" s="7">
        <f t="shared" si="13"/>
        <v>0</v>
      </c>
      <c r="N53" s="13">
        <f t="shared" si="19"/>
        <v>0</v>
      </c>
      <c r="O53" s="12">
        <f t="shared" si="20"/>
        <v>0</v>
      </c>
      <c r="Q53" s="553">
        <v>5</v>
      </c>
      <c r="R53" s="3"/>
      <c r="S53" s="3"/>
      <c r="T53" s="838">
        <f t="shared" si="25"/>
        <v>0</v>
      </c>
      <c r="U53" s="1001">
        <f t="shared" si="21"/>
        <v>7.3795180722891554E-2</v>
      </c>
      <c r="V53" s="1001">
        <f t="shared" si="21"/>
        <v>6.1395348837209304E-2</v>
      </c>
      <c r="W53" s="836">
        <f t="shared" si="14"/>
        <v>0</v>
      </c>
      <c r="X53" s="836">
        <f t="shared" si="15"/>
        <v>0</v>
      </c>
      <c r="Y53" s="6">
        <f>温度条件他根拠!$C$61</f>
        <v>3.55</v>
      </c>
      <c r="Z53" s="6">
        <f>温度条件他根拠!$C$62</f>
        <v>3.95</v>
      </c>
      <c r="AA53" s="7">
        <f t="shared" si="16"/>
        <v>0</v>
      </c>
      <c r="AB53" s="7">
        <f t="shared" si="16"/>
        <v>0</v>
      </c>
      <c r="AC53" s="13">
        <f t="shared" si="22"/>
        <v>0</v>
      </c>
      <c r="AD53" s="12">
        <f t="shared" si="23"/>
        <v>0</v>
      </c>
    </row>
    <row r="54" spans="2:30">
      <c r="B54" s="553">
        <v>6</v>
      </c>
      <c r="C54" s="3"/>
      <c r="D54" s="3"/>
      <c r="E54" s="838">
        <f t="shared" si="24"/>
        <v>0</v>
      </c>
      <c r="F54" s="839">
        <f>0.7*(温度条件他根拠!$D$7-温度条件他根拠!$D$9)/(温度条件他根拠!$D$7-26)</f>
        <v>0.44545454545454538</v>
      </c>
      <c r="G54" s="838">
        <v>0</v>
      </c>
      <c r="H54" s="7">
        <f t="shared" si="17"/>
        <v>0</v>
      </c>
      <c r="I54" s="7">
        <f t="shared" si="18"/>
        <v>0</v>
      </c>
      <c r="J54" s="6">
        <f>温度条件他根拠!$C$61</f>
        <v>3.55</v>
      </c>
      <c r="K54" s="6">
        <f>温度条件他根拠!$C$62</f>
        <v>3.95</v>
      </c>
      <c r="L54" s="7">
        <f t="shared" si="13"/>
        <v>0</v>
      </c>
      <c r="M54" s="7">
        <f t="shared" si="13"/>
        <v>0</v>
      </c>
      <c r="N54" s="13">
        <f t="shared" si="19"/>
        <v>0</v>
      </c>
      <c r="O54" s="12">
        <f t="shared" si="20"/>
        <v>0</v>
      </c>
      <c r="Q54" s="553">
        <v>6</v>
      </c>
      <c r="R54" s="3"/>
      <c r="S54" s="3"/>
      <c r="T54" s="838">
        <f t="shared" si="25"/>
        <v>0</v>
      </c>
      <c r="U54" s="1001">
        <f t="shared" si="21"/>
        <v>0.44545454545454538</v>
      </c>
      <c r="V54" s="838">
        <f t="shared" si="21"/>
        <v>0</v>
      </c>
      <c r="W54" s="7">
        <f t="shared" si="14"/>
        <v>0</v>
      </c>
      <c r="X54" s="7">
        <f t="shared" si="15"/>
        <v>0</v>
      </c>
      <c r="Y54" s="6">
        <f>温度条件他根拠!$C$61</f>
        <v>3.55</v>
      </c>
      <c r="Z54" s="6">
        <f>温度条件他根拠!$C$62</f>
        <v>3.95</v>
      </c>
      <c r="AA54" s="7">
        <f t="shared" si="16"/>
        <v>0</v>
      </c>
      <c r="AB54" s="7">
        <f t="shared" si="16"/>
        <v>0</v>
      </c>
      <c r="AC54" s="13">
        <f t="shared" si="22"/>
        <v>0</v>
      </c>
      <c r="AD54" s="12">
        <f t="shared" si="23"/>
        <v>0</v>
      </c>
    </row>
    <row r="55" spans="2:30">
      <c r="B55" s="553">
        <v>7</v>
      </c>
      <c r="C55" s="3"/>
      <c r="D55" s="3"/>
      <c r="E55" s="838">
        <f t="shared" si="24"/>
        <v>0</v>
      </c>
      <c r="F55" s="839">
        <f>0.7*(温度条件他根拠!$D$7-温度条件他根拠!$D$9)/(温度条件他根拠!$D$7-28)</f>
        <v>0.7</v>
      </c>
      <c r="G55" s="838">
        <v>0</v>
      </c>
      <c r="H55" s="7">
        <f t="shared" si="17"/>
        <v>0</v>
      </c>
      <c r="I55" s="7">
        <f t="shared" si="18"/>
        <v>0</v>
      </c>
      <c r="J55" s="6">
        <f>温度条件他根拠!$C$61</f>
        <v>3.55</v>
      </c>
      <c r="K55" s="6">
        <f>温度条件他根拠!$C$62</f>
        <v>3.95</v>
      </c>
      <c r="L55" s="7">
        <f t="shared" si="13"/>
        <v>0</v>
      </c>
      <c r="M55" s="7">
        <f t="shared" si="13"/>
        <v>0</v>
      </c>
      <c r="N55" s="13">
        <f t="shared" si="19"/>
        <v>0</v>
      </c>
      <c r="O55" s="12">
        <f t="shared" si="20"/>
        <v>0</v>
      </c>
      <c r="Q55" s="553">
        <v>7</v>
      </c>
      <c r="R55" s="3"/>
      <c r="S55" s="3"/>
      <c r="T55" s="838">
        <f t="shared" si="25"/>
        <v>0</v>
      </c>
      <c r="U55" s="1001">
        <f t="shared" si="21"/>
        <v>0.7</v>
      </c>
      <c r="V55" s="838">
        <f t="shared" si="21"/>
        <v>0</v>
      </c>
      <c r="W55" s="7">
        <f t="shared" si="14"/>
        <v>0</v>
      </c>
      <c r="X55" s="7">
        <f t="shared" si="15"/>
        <v>0</v>
      </c>
      <c r="Y55" s="6">
        <f>温度条件他根拠!$C$61</f>
        <v>3.55</v>
      </c>
      <c r="Z55" s="6">
        <f>温度条件他根拠!$C$62</f>
        <v>3.95</v>
      </c>
      <c r="AA55" s="7">
        <f t="shared" si="16"/>
        <v>0</v>
      </c>
      <c r="AB55" s="7">
        <f t="shared" si="16"/>
        <v>0</v>
      </c>
      <c r="AC55" s="13">
        <f t="shared" si="22"/>
        <v>0</v>
      </c>
      <c r="AD55" s="12">
        <f t="shared" si="23"/>
        <v>0</v>
      </c>
    </row>
    <row r="56" spans="2:30">
      <c r="B56" s="553">
        <v>8</v>
      </c>
      <c r="C56" s="836">
        <f>L32</f>
        <v>0</v>
      </c>
      <c r="D56" s="3"/>
      <c r="E56" s="838">
        <f t="shared" si="24"/>
        <v>0</v>
      </c>
      <c r="F56" s="839">
        <f>0.7*(温度条件他根拠!$D$7-温度条件他根拠!$D$9)/(温度条件他根拠!$D$7-28)</f>
        <v>0.7</v>
      </c>
      <c r="G56" s="838">
        <v>0</v>
      </c>
      <c r="H56" s="7">
        <f>$C$56*E56*F56/1000</f>
        <v>0</v>
      </c>
      <c r="I56" s="7">
        <f t="shared" si="18"/>
        <v>0</v>
      </c>
      <c r="J56" s="6">
        <f>温度条件他根拠!$C$61</f>
        <v>3.55</v>
      </c>
      <c r="K56" s="6">
        <f>温度条件他根拠!$C$62</f>
        <v>3.95</v>
      </c>
      <c r="L56" s="7">
        <f t="shared" si="13"/>
        <v>0</v>
      </c>
      <c r="M56" s="7">
        <f t="shared" si="13"/>
        <v>0</v>
      </c>
      <c r="N56" s="13">
        <f t="shared" si="19"/>
        <v>0</v>
      </c>
      <c r="O56" s="12">
        <f t="shared" si="20"/>
        <v>0</v>
      </c>
      <c r="Q56" s="553">
        <v>8</v>
      </c>
      <c r="R56" s="836">
        <f>L14</f>
        <v>0</v>
      </c>
      <c r="S56" s="3"/>
      <c r="T56" s="838">
        <f t="shared" si="25"/>
        <v>0</v>
      </c>
      <c r="U56" s="1001">
        <f t="shared" si="21"/>
        <v>0.7</v>
      </c>
      <c r="V56" s="838">
        <f t="shared" si="21"/>
        <v>0</v>
      </c>
      <c r="W56" s="7">
        <f t="shared" si="14"/>
        <v>0</v>
      </c>
      <c r="X56" s="7">
        <f t="shared" si="15"/>
        <v>0</v>
      </c>
      <c r="Y56" s="6">
        <f>温度条件他根拠!$C$61</f>
        <v>3.55</v>
      </c>
      <c r="Z56" s="6">
        <f>温度条件他根拠!$C$62</f>
        <v>3.95</v>
      </c>
      <c r="AA56" s="7">
        <f t="shared" si="16"/>
        <v>0</v>
      </c>
      <c r="AB56" s="7">
        <f t="shared" si="16"/>
        <v>0</v>
      </c>
      <c r="AC56" s="13">
        <f t="shared" si="22"/>
        <v>0</v>
      </c>
      <c r="AD56" s="12">
        <f t="shared" si="23"/>
        <v>0</v>
      </c>
    </row>
    <row r="57" spans="2:30">
      <c r="B57" s="553">
        <v>9</v>
      </c>
      <c r="C57" s="3"/>
      <c r="D57" s="3"/>
      <c r="E57" s="838">
        <f t="shared" si="24"/>
        <v>0</v>
      </c>
      <c r="F57" s="839">
        <f>0.7*(温度条件他根拠!$D$7-温度条件他根拠!$D$9)/(温度条件他根拠!$D$7-27.1)</f>
        <v>0.55681818181818199</v>
      </c>
      <c r="G57" s="838">
        <v>0</v>
      </c>
      <c r="H57" s="7">
        <f t="shared" si="17"/>
        <v>0</v>
      </c>
      <c r="I57" s="7">
        <f t="shared" si="18"/>
        <v>0</v>
      </c>
      <c r="J57" s="6">
        <f>温度条件他根拠!$C$61</f>
        <v>3.55</v>
      </c>
      <c r="K57" s="6">
        <f>温度条件他根拠!$C$62</f>
        <v>3.95</v>
      </c>
      <c r="L57" s="7">
        <f t="shared" si="13"/>
        <v>0</v>
      </c>
      <c r="M57" s="7">
        <f t="shared" si="13"/>
        <v>0</v>
      </c>
      <c r="N57" s="13">
        <f t="shared" si="19"/>
        <v>0</v>
      </c>
      <c r="O57" s="12">
        <f t="shared" si="20"/>
        <v>0</v>
      </c>
      <c r="Q57" s="553">
        <v>9</v>
      </c>
      <c r="R57" s="3"/>
      <c r="S57" s="3"/>
      <c r="T57" s="838">
        <f t="shared" si="25"/>
        <v>0</v>
      </c>
      <c r="U57" s="1001">
        <f t="shared" si="21"/>
        <v>0.55681818181818199</v>
      </c>
      <c r="V57" s="838">
        <f t="shared" si="21"/>
        <v>0</v>
      </c>
      <c r="W57" s="7">
        <f t="shared" si="14"/>
        <v>0</v>
      </c>
      <c r="X57" s="7">
        <f t="shared" si="15"/>
        <v>0</v>
      </c>
      <c r="Y57" s="6">
        <f>温度条件他根拠!$C$61</f>
        <v>3.55</v>
      </c>
      <c r="Z57" s="6">
        <f>温度条件他根拠!$C$62</f>
        <v>3.95</v>
      </c>
      <c r="AA57" s="7">
        <f t="shared" si="16"/>
        <v>0</v>
      </c>
      <c r="AB57" s="7">
        <f t="shared" si="16"/>
        <v>0</v>
      </c>
      <c r="AC57" s="13">
        <f t="shared" si="22"/>
        <v>0</v>
      </c>
      <c r="AD57" s="12">
        <f t="shared" si="23"/>
        <v>0</v>
      </c>
    </row>
    <row r="58" spans="2:30">
      <c r="B58" s="553">
        <v>10</v>
      </c>
      <c r="C58" s="3"/>
      <c r="D58" s="3"/>
      <c r="E58" s="838">
        <f t="shared" si="24"/>
        <v>0</v>
      </c>
      <c r="F58" s="839">
        <f>0.175*(温度条件他根拠!$D$7-温度条件他根拠!$D$9)/(温度条件他根拠!$D$7-21.6)</f>
        <v>6.1868686868686872E-2</v>
      </c>
      <c r="G58" s="839">
        <f>0.2*(温度条件他根拠!$D$10-12.8)/(温度条件他根拠!$D$10-温度条件他根拠!$D$8)</f>
        <v>6.6976744186046502E-2</v>
      </c>
      <c r="H58" s="836">
        <f>$C$56*E58*F58/1000</f>
        <v>0</v>
      </c>
      <c r="I58" s="836">
        <f>G58*E58*$D$49/1000</f>
        <v>0</v>
      </c>
      <c r="J58" s="6">
        <f>温度条件他根拠!$C$61</f>
        <v>3.55</v>
      </c>
      <c r="K58" s="6">
        <f>温度条件他根拠!$C$62</f>
        <v>3.95</v>
      </c>
      <c r="L58" s="7">
        <f t="shared" si="13"/>
        <v>0</v>
      </c>
      <c r="M58" s="7">
        <f t="shared" si="13"/>
        <v>0</v>
      </c>
      <c r="N58" s="13">
        <f t="shared" si="19"/>
        <v>0</v>
      </c>
      <c r="O58" s="12">
        <f t="shared" si="20"/>
        <v>0</v>
      </c>
      <c r="Q58" s="553">
        <v>10</v>
      </c>
      <c r="R58" s="3"/>
      <c r="S58" s="3"/>
      <c r="T58" s="838">
        <f t="shared" si="25"/>
        <v>0</v>
      </c>
      <c r="U58" s="1001">
        <f t="shared" si="21"/>
        <v>6.1868686868686872E-2</v>
      </c>
      <c r="V58" s="1001">
        <f t="shared" si="21"/>
        <v>6.6976744186046502E-2</v>
      </c>
      <c r="W58" s="836">
        <f t="shared" si="14"/>
        <v>0</v>
      </c>
      <c r="X58" s="836">
        <f t="shared" si="15"/>
        <v>0</v>
      </c>
      <c r="Y58" s="6">
        <f>温度条件他根拠!$C$61</f>
        <v>3.55</v>
      </c>
      <c r="Z58" s="6">
        <f>温度条件他根拠!$C$62</f>
        <v>3.95</v>
      </c>
      <c r="AA58" s="7">
        <f t="shared" si="16"/>
        <v>0</v>
      </c>
      <c r="AB58" s="7">
        <f t="shared" si="16"/>
        <v>0</v>
      </c>
      <c r="AC58" s="13">
        <f t="shared" si="22"/>
        <v>0</v>
      </c>
      <c r="AD58" s="12">
        <f t="shared" si="23"/>
        <v>0</v>
      </c>
    </row>
    <row r="59" spans="2:30">
      <c r="B59" s="553">
        <v>11</v>
      </c>
      <c r="C59" s="3"/>
      <c r="D59" s="3"/>
      <c r="E59" s="838">
        <f t="shared" si="24"/>
        <v>0</v>
      </c>
      <c r="F59" s="838">
        <v>0</v>
      </c>
      <c r="G59" s="839">
        <f>0.8*(温度条件他根拠!$D$10-6.2)/(温度条件他根拠!$D$10-温度条件他根拠!$D$8)</f>
        <v>0.51348837209302334</v>
      </c>
      <c r="H59" s="7">
        <f t="shared" si="17"/>
        <v>0</v>
      </c>
      <c r="I59" s="7">
        <f t="shared" si="18"/>
        <v>0</v>
      </c>
      <c r="J59" s="6">
        <f>温度条件他根拠!$C$61</f>
        <v>3.55</v>
      </c>
      <c r="K59" s="6">
        <f>温度条件他根拠!$C$62</f>
        <v>3.95</v>
      </c>
      <c r="L59" s="7">
        <f t="shared" si="13"/>
        <v>0</v>
      </c>
      <c r="M59" s="7">
        <f t="shared" si="13"/>
        <v>0</v>
      </c>
      <c r="N59" s="13">
        <f t="shared" si="19"/>
        <v>0</v>
      </c>
      <c r="O59" s="12">
        <f t="shared" si="20"/>
        <v>0</v>
      </c>
      <c r="Q59" s="553">
        <v>11</v>
      </c>
      <c r="R59" s="3"/>
      <c r="S59" s="3"/>
      <c r="T59" s="838">
        <f t="shared" si="25"/>
        <v>0</v>
      </c>
      <c r="U59" s="838">
        <f t="shared" si="21"/>
        <v>0</v>
      </c>
      <c r="V59" s="1001">
        <f t="shared" si="21"/>
        <v>0.51348837209302334</v>
      </c>
      <c r="W59" s="7">
        <f t="shared" si="14"/>
        <v>0</v>
      </c>
      <c r="X59" s="7">
        <f t="shared" si="15"/>
        <v>0</v>
      </c>
      <c r="Y59" s="6">
        <f>温度条件他根拠!$C$61</f>
        <v>3.55</v>
      </c>
      <c r="Z59" s="6">
        <f>温度条件他根拠!$C$62</f>
        <v>3.95</v>
      </c>
      <c r="AA59" s="7">
        <f t="shared" si="16"/>
        <v>0</v>
      </c>
      <c r="AB59" s="7">
        <f t="shared" si="16"/>
        <v>0</v>
      </c>
      <c r="AC59" s="13">
        <f t="shared" si="22"/>
        <v>0</v>
      </c>
      <c r="AD59" s="12">
        <f t="shared" si="23"/>
        <v>0</v>
      </c>
    </row>
    <row r="60" spans="2:30">
      <c r="B60" s="553">
        <v>12</v>
      </c>
      <c r="C60" s="3"/>
      <c r="D60" s="3"/>
      <c r="E60" s="838">
        <f t="shared" si="24"/>
        <v>0</v>
      </c>
      <c r="F60" s="838">
        <v>0</v>
      </c>
      <c r="G60" s="839">
        <f>0.8*(温度条件他根拠!$D$10-0.8)/(温度条件他根拠!$D$10-温度条件他根拠!$D$8)</f>
        <v>0.7144186046511628</v>
      </c>
      <c r="H60" s="7">
        <f t="shared" si="17"/>
        <v>0</v>
      </c>
      <c r="I60" s="7">
        <f t="shared" si="18"/>
        <v>0</v>
      </c>
      <c r="J60" s="6">
        <f>温度条件他根拠!$C$61</f>
        <v>3.55</v>
      </c>
      <c r="K60" s="6">
        <f>温度条件他根拠!$C$62</f>
        <v>3.95</v>
      </c>
      <c r="L60" s="7">
        <f t="shared" si="13"/>
        <v>0</v>
      </c>
      <c r="M60" s="7">
        <f t="shared" si="13"/>
        <v>0</v>
      </c>
      <c r="N60" s="13">
        <f t="shared" si="19"/>
        <v>0</v>
      </c>
      <c r="O60" s="12">
        <f t="shared" si="20"/>
        <v>0</v>
      </c>
      <c r="Q60" s="553">
        <v>12</v>
      </c>
      <c r="R60" s="3"/>
      <c r="S60" s="3"/>
      <c r="T60" s="838">
        <f t="shared" si="25"/>
        <v>0</v>
      </c>
      <c r="U60" s="838">
        <f t="shared" si="21"/>
        <v>0</v>
      </c>
      <c r="V60" s="1001">
        <f t="shared" si="21"/>
        <v>0.7144186046511628</v>
      </c>
      <c r="W60" s="7">
        <f t="shared" si="14"/>
        <v>0</v>
      </c>
      <c r="X60" s="7">
        <f t="shared" si="15"/>
        <v>0</v>
      </c>
      <c r="Y60" s="6">
        <f>温度条件他根拠!$C$61</f>
        <v>3.55</v>
      </c>
      <c r="Z60" s="6">
        <f>温度条件他根拠!$C$62</f>
        <v>3.95</v>
      </c>
      <c r="AA60" s="7">
        <f t="shared" si="16"/>
        <v>0</v>
      </c>
      <c r="AB60" s="7">
        <f t="shared" si="16"/>
        <v>0</v>
      </c>
      <c r="AC60" s="13">
        <f t="shared" si="22"/>
        <v>0</v>
      </c>
      <c r="AD60" s="12">
        <f t="shared" si="23"/>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1079</v>
      </c>
    </row>
    <row r="86" spans="2:3">
      <c r="B86" s="691">
        <v>43927</v>
      </c>
      <c r="C86" s="690" t="s">
        <v>866</v>
      </c>
    </row>
    <row r="87" spans="2:3">
      <c r="B87" s="691">
        <v>44634</v>
      </c>
      <c r="C87" s="690" t="s">
        <v>1119</v>
      </c>
    </row>
    <row r="88" spans="2:3">
      <c r="C88" s="690" t="s">
        <v>1120</v>
      </c>
    </row>
    <row r="89" spans="2:3">
      <c r="C89" s="1" t="s">
        <v>1121</v>
      </c>
    </row>
    <row r="90" spans="2:3">
      <c r="C90" s="1" t="s">
        <v>1133</v>
      </c>
    </row>
    <row r="91" spans="2:3">
      <c r="C91" s="1" t="s">
        <v>1134</v>
      </c>
    </row>
  </sheetData>
  <mergeCells count="20">
    <mergeCell ref="P16:P23"/>
    <mergeCell ref="J3:J5"/>
    <mergeCell ref="K3:K5"/>
    <mergeCell ref="L3:L5"/>
    <mergeCell ref="N3:N5"/>
    <mergeCell ref="O3:O5"/>
    <mergeCell ref="P3:P5"/>
    <mergeCell ref="B4:C5"/>
    <mergeCell ref="D4:F4"/>
    <mergeCell ref="G4:G5"/>
    <mergeCell ref="B6:B14"/>
    <mergeCell ref="B15:B23"/>
    <mergeCell ref="B24:B33"/>
    <mergeCell ref="B45:O45"/>
    <mergeCell ref="D33:F33"/>
    <mergeCell ref="J16:J22"/>
    <mergeCell ref="K16:K23"/>
    <mergeCell ref="L16:L23"/>
    <mergeCell ref="N16:N22"/>
    <mergeCell ref="O16:O23"/>
  </mergeCells>
  <phoneticPr fontId="2"/>
  <pageMargins left="0" right="0" top="0.55118110236220474" bottom="0.15748031496062992" header="0.11811023622047245" footer="0"/>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9E0C4-4F2D-4602-AFD6-190D91C028A8}">
  <sheetPr codeName="Sheet24">
    <tabColor rgb="FFFFFF00"/>
  </sheetPr>
  <dimension ref="B1:AD91"/>
  <sheetViews>
    <sheetView workbookViewId="0">
      <selection activeCell="H9" sqref="H9"/>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6">
      <c r="B1" s="156">
        <f>温度条件他根拠!D6</f>
        <v>1</v>
      </c>
      <c r="C1" s="157"/>
      <c r="D1" s="705" t="str">
        <f ca="1">RIGHT(CELL("filename",D1),LEN(CELL("filename",D1))-FIND("]",CELL("filename",D1)))</f>
        <v>さいたま市外壁断熱</v>
      </c>
      <c r="E1" s="81"/>
      <c r="F1" s="81"/>
      <c r="G1" s="81"/>
      <c r="H1" s="81"/>
      <c r="I1" s="81"/>
      <c r="J1" s="81"/>
      <c r="K1" s="81"/>
      <c r="L1" s="81"/>
      <c r="M1" s="81"/>
      <c r="N1" s="81"/>
      <c r="O1" s="81"/>
    </row>
    <row r="2" spans="2:16" ht="13.5" thickBot="1">
      <c r="B2" s="888"/>
      <c r="C2" s="889"/>
      <c r="D2" s="887"/>
      <c r="E2" s="81"/>
      <c r="F2" s="81"/>
      <c r="G2" s="81"/>
      <c r="H2" s="81"/>
      <c r="I2" s="81"/>
      <c r="J2" s="81"/>
      <c r="K2" s="81"/>
      <c r="L2" s="81"/>
      <c r="M2" s="81"/>
      <c r="N2" s="81"/>
      <c r="O2" s="81"/>
    </row>
    <row r="3" spans="2:16" ht="13" customHeight="1" thickBot="1">
      <c r="B3" s="840" t="s">
        <v>1093</v>
      </c>
      <c r="C3" s="890"/>
      <c r="D3" s="841"/>
      <c r="E3" s="841"/>
      <c r="F3" s="841"/>
      <c r="G3" s="841"/>
      <c r="H3" s="1010"/>
      <c r="I3" s="1010"/>
      <c r="J3" s="2096" t="str">
        <f>J16</f>
        <v>D
時間帯合計値の最大値の方位別冷房負荷（計算採用値）</v>
      </c>
      <c r="K3" s="2099" t="str">
        <f>K16</f>
        <v>E
操業時間
(h/日)</v>
      </c>
      <c r="L3" s="2102" t="str">
        <f>L16</f>
        <v>①
＝ΣD×E
方位別
日冷房
負荷
削減量
（W・h/日）</v>
      </c>
      <c r="M3" s="897"/>
      <c r="N3" s="2096" t="str">
        <f>N16</f>
        <v>F
時間帯合計値の最大値の方位別暖房負荷（計算採用値）</v>
      </c>
      <c r="O3" s="2099" t="str">
        <f>O16</f>
        <v>E
操業時間
(h/日)</v>
      </c>
      <c r="P3" s="2102" t="str">
        <f>P16</f>
        <v>②
＝ΣF×E
方位別
日暖房
負荷
削減量
（W・h/日）</v>
      </c>
    </row>
    <row r="4" spans="2:16">
      <c r="B4" s="2088" t="s">
        <v>1094</v>
      </c>
      <c r="C4" s="2089"/>
      <c r="D4" s="2089" t="s">
        <v>1095</v>
      </c>
      <c r="E4" s="2089"/>
      <c r="F4" s="2089"/>
      <c r="G4" s="2092" t="s">
        <v>1122</v>
      </c>
      <c r="H4" s="894"/>
      <c r="I4" s="894"/>
      <c r="J4" s="2097"/>
      <c r="K4" s="2100"/>
      <c r="L4" s="2103"/>
      <c r="M4" s="896"/>
      <c r="N4" s="2097"/>
      <c r="O4" s="2100"/>
      <c r="P4" s="2103"/>
    </row>
    <row r="5" spans="2:16" ht="13.5" thickBot="1">
      <c r="B5" s="2090"/>
      <c r="C5" s="2091"/>
      <c r="D5" s="842" t="s">
        <v>1098</v>
      </c>
      <c r="E5" s="842" t="s">
        <v>1099</v>
      </c>
      <c r="F5" s="842" t="s">
        <v>1100</v>
      </c>
      <c r="G5" s="2093"/>
      <c r="H5" s="894"/>
      <c r="I5" s="894"/>
      <c r="J5" s="2098"/>
      <c r="K5" s="2101"/>
      <c r="L5" s="2104"/>
      <c r="M5" s="896"/>
      <c r="N5" s="2098"/>
      <c r="O5" s="2101"/>
      <c r="P5" s="2104"/>
    </row>
    <row r="6" spans="2:16">
      <c r="B6" s="2094" t="s">
        <v>1123</v>
      </c>
      <c r="C6" s="881" t="s">
        <v>1395</v>
      </c>
      <c r="D6" s="882">
        <f>結果!H31</f>
        <v>0</v>
      </c>
      <c r="E6" s="882">
        <f>結果!J31</f>
        <v>0</v>
      </c>
      <c r="F6" s="882">
        <f>結果!L31</f>
        <v>0</v>
      </c>
      <c r="G6" s="883">
        <f>結果!Q31</f>
        <v>0</v>
      </c>
      <c r="H6" s="894"/>
      <c r="I6" s="894"/>
      <c r="J6" s="857">
        <f>IF(D32&gt;=D33,D6,IF(E32&gt;=D33,E6,F6))</f>
        <v>0</v>
      </c>
      <c r="K6" s="857">
        <f>K24</f>
        <v>0</v>
      </c>
      <c r="L6" s="859">
        <f>K6*J6</f>
        <v>0</v>
      </c>
      <c r="M6" s="896"/>
      <c r="N6" s="860">
        <f>G6</f>
        <v>0</v>
      </c>
      <c r="O6" s="858">
        <f>K6</f>
        <v>0</v>
      </c>
      <c r="P6" s="859">
        <f>O6*N6</f>
        <v>0</v>
      </c>
    </row>
    <row r="7" spans="2:16">
      <c r="B7" s="2077"/>
      <c r="C7" s="877" t="s">
        <v>1396</v>
      </c>
      <c r="D7" s="847">
        <f>結果!H32</f>
        <v>0</v>
      </c>
      <c r="E7" s="847">
        <f>結果!J32</f>
        <v>0</v>
      </c>
      <c r="F7" s="847">
        <f>結果!L32</f>
        <v>0</v>
      </c>
      <c r="G7" s="879">
        <f>結果!Q32</f>
        <v>0</v>
      </c>
      <c r="H7" s="894"/>
      <c r="I7" s="894"/>
      <c r="J7" s="862">
        <f>IF(D32&gt;=D33,D7,IF(E32&gt;=D33,E7,F7))</f>
        <v>0</v>
      </c>
      <c r="K7" s="862">
        <f>K25</f>
        <v>0</v>
      </c>
      <c r="L7" s="864">
        <f t="shared" ref="L7:L13" si="0">K7*J7</f>
        <v>0</v>
      </c>
      <c r="M7" s="896"/>
      <c r="N7" s="865">
        <f>G7</f>
        <v>0</v>
      </c>
      <c r="O7" s="863">
        <f>K7</f>
        <v>0</v>
      </c>
      <c r="P7" s="864">
        <f t="shared" ref="P7:P13" si="1">O7*N7</f>
        <v>0</v>
      </c>
    </row>
    <row r="8" spans="2:16">
      <c r="B8" s="2077"/>
      <c r="C8" s="877" t="s">
        <v>1397</v>
      </c>
      <c r="D8" s="847">
        <f>結果!H33</f>
        <v>0</v>
      </c>
      <c r="E8" s="847">
        <f>結果!J33</f>
        <v>0</v>
      </c>
      <c r="F8" s="847">
        <f>結果!L33</f>
        <v>0</v>
      </c>
      <c r="G8" s="879">
        <f>結果!Q33</f>
        <v>0</v>
      </c>
      <c r="H8" s="894"/>
      <c r="I8" s="894"/>
      <c r="J8" s="862">
        <f>IF(D32&gt;=D33,D8,IF(E32&gt;=D33,E8,F8))</f>
        <v>0</v>
      </c>
      <c r="K8" s="862">
        <f t="shared" ref="K8:K13" si="2">K26</f>
        <v>0</v>
      </c>
      <c r="L8" s="864">
        <f t="shared" si="0"/>
        <v>0</v>
      </c>
      <c r="M8" s="896"/>
      <c r="N8" s="865">
        <f t="shared" ref="N8:N12" si="3">G8</f>
        <v>0</v>
      </c>
      <c r="O8" s="863">
        <f t="shared" ref="O8:O13" si="4">K8</f>
        <v>0</v>
      </c>
      <c r="P8" s="864">
        <f t="shared" si="1"/>
        <v>0</v>
      </c>
    </row>
    <row r="9" spans="2:16">
      <c r="B9" s="2077"/>
      <c r="C9" s="877" t="s">
        <v>1398</v>
      </c>
      <c r="D9" s="847">
        <f>結果!H34</f>
        <v>0</v>
      </c>
      <c r="E9" s="847">
        <f>結果!J34</f>
        <v>0</v>
      </c>
      <c r="F9" s="847">
        <f>結果!L34</f>
        <v>0</v>
      </c>
      <c r="G9" s="879">
        <f>結果!Q34</f>
        <v>0</v>
      </c>
      <c r="H9" s="894"/>
      <c r="I9" s="894"/>
      <c r="J9" s="862">
        <f>IF(D32&gt;=D33,D9,IF(E32&gt;=D33,E9,F9))</f>
        <v>0</v>
      </c>
      <c r="K9" s="862">
        <f t="shared" si="2"/>
        <v>0</v>
      </c>
      <c r="L9" s="864">
        <f t="shared" si="0"/>
        <v>0</v>
      </c>
      <c r="M9" s="896"/>
      <c r="N9" s="865">
        <f t="shared" si="3"/>
        <v>0</v>
      </c>
      <c r="O9" s="863">
        <f t="shared" si="4"/>
        <v>0</v>
      </c>
      <c r="P9" s="864">
        <f t="shared" si="1"/>
        <v>0</v>
      </c>
    </row>
    <row r="10" spans="2:16">
      <c r="B10" s="2077"/>
      <c r="C10" s="877" t="s">
        <v>1399</v>
      </c>
      <c r="D10" s="847">
        <f>結果!H35</f>
        <v>0</v>
      </c>
      <c r="E10" s="847">
        <f>結果!J35</f>
        <v>0</v>
      </c>
      <c r="F10" s="847">
        <f>結果!L35</f>
        <v>0</v>
      </c>
      <c r="G10" s="879">
        <f>結果!Q35</f>
        <v>0</v>
      </c>
      <c r="H10" s="894"/>
      <c r="I10" s="894"/>
      <c r="J10" s="862">
        <f>IF(D32&gt;=D33,D10,IF(E32&gt;=D33,E10,F10))</f>
        <v>0</v>
      </c>
      <c r="K10" s="862">
        <f t="shared" si="2"/>
        <v>0</v>
      </c>
      <c r="L10" s="864">
        <f t="shared" si="0"/>
        <v>0</v>
      </c>
      <c r="M10" s="896"/>
      <c r="N10" s="865">
        <f t="shared" si="3"/>
        <v>0</v>
      </c>
      <c r="O10" s="862">
        <f t="shared" si="4"/>
        <v>0</v>
      </c>
      <c r="P10" s="864">
        <f t="shared" si="1"/>
        <v>0</v>
      </c>
    </row>
    <row r="11" spans="2:16">
      <c r="B11" s="2077"/>
      <c r="C11" s="877" t="s">
        <v>1400</v>
      </c>
      <c r="D11" s="847">
        <f>結果!H36</f>
        <v>0</v>
      </c>
      <c r="E11" s="847">
        <f>結果!J36</f>
        <v>0</v>
      </c>
      <c r="F11" s="847">
        <f>結果!L36</f>
        <v>0</v>
      </c>
      <c r="G11" s="879">
        <f>結果!Q36</f>
        <v>0</v>
      </c>
      <c r="H11" s="894"/>
      <c r="I11" s="894"/>
      <c r="J11" s="862">
        <f>IF(D32&gt;=D33,D11,IF(E32&gt;=D33,E11,F11))</f>
        <v>0</v>
      </c>
      <c r="K11" s="862">
        <f t="shared" si="2"/>
        <v>0</v>
      </c>
      <c r="L11" s="864">
        <f t="shared" si="0"/>
        <v>0</v>
      </c>
      <c r="M11" s="896"/>
      <c r="N11" s="865">
        <f t="shared" si="3"/>
        <v>0</v>
      </c>
      <c r="O11" s="863">
        <f t="shared" si="4"/>
        <v>0</v>
      </c>
      <c r="P11" s="864">
        <f t="shared" si="1"/>
        <v>0</v>
      </c>
    </row>
    <row r="12" spans="2:16">
      <c r="B12" s="2077"/>
      <c r="C12" s="877" t="s">
        <v>1401</v>
      </c>
      <c r="D12" s="847">
        <f>結果!H37</f>
        <v>0</v>
      </c>
      <c r="E12" s="847">
        <f>結果!J37</f>
        <v>0</v>
      </c>
      <c r="F12" s="847">
        <f>結果!L37</f>
        <v>0</v>
      </c>
      <c r="G12" s="879">
        <f>結果!Q37</f>
        <v>0</v>
      </c>
      <c r="H12" s="894"/>
      <c r="I12" s="894"/>
      <c r="J12" s="862">
        <f>IF(D32&gt;=D33,D12,IF(E32&gt;=D33,E12,F12))</f>
        <v>0</v>
      </c>
      <c r="K12" s="862">
        <f t="shared" si="2"/>
        <v>0</v>
      </c>
      <c r="L12" s="864">
        <f t="shared" si="0"/>
        <v>0</v>
      </c>
      <c r="M12" s="896"/>
      <c r="N12" s="865">
        <f t="shared" si="3"/>
        <v>0</v>
      </c>
      <c r="O12" s="863">
        <f t="shared" si="4"/>
        <v>0</v>
      </c>
      <c r="P12" s="864">
        <f t="shared" si="1"/>
        <v>0</v>
      </c>
    </row>
    <row r="13" spans="2:16" ht="13.5" customHeight="1" thickBot="1">
      <c r="B13" s="2077"/>
      <c r="C13" s="878" t="s">
        <v>1402</v>
      </c>
      <c r="D13" s="850">
        <f>結果!H38</f>
        <v>0</v>
      </c>
      <c r="E13" s="850">
        <f>結果!J38</f>
        <v>0</v>
      </c>
      <c r="F13" s="850">
        <f>結果!L38</f>
        <v>0</v>
      </c>
      <c r="G13" s="880">
        <f>結果!Q38</f>
        <v>0</v>
      </c>
      <c r="H13" s="894"/>
      <c r="I13" s="894"/>
      <c r="J13" s="868">
        <f>IF(D32&gt;=D33,D13,IF(E32&gt;=D33,E13,F13))</f>
        <v>0</v>
      </c>
      <c r="K13" s="862">
        <f t="shared" si="2"/>
        <v>0</v>
      </c>
      <c r="L13" s="870">
        <f t="shared" si="0"/>
        <v>0</v>
      </c>
      <c r="M13" s="896"/>
      <c r="N13" s="865">
        <f>G13</f>
        <v>0</v>
      </c>
      <c r="O13" s="863">
        <f t="shared" si="4"/>
        <v>0</v>
      </c>
      <c r="P13" s="870">
        <f t="shared" si="1"/>
        <v>0</v>
      </c>
    </row>
    <row r="14" spans="2:16" ht="13.5" customHeight="1" thickBot="1">
      <c r="B14" s="2095"/>
      <c r="C14" s="852" t="s">
        <v>1124</v>
      </c>
      <c r="D14" s="853">
        <f>SUM(D6:D13)</f>
        <v>0</v>
      </c>
      <c r="E14" s="853">
        <f t="shared" ref="E14:G14" si="5">SUM(E6:E13)</f>
        <v>0</v>
      </c>
      <c r="F14" s="853">
        <f t="shared" si="5"/>
        <v>0</v>
      </c>
      <c r="G14" s="854">
        <f t="shared" si="5"/>
        <v>0</v>
      </c>
      <c r="H14" s="894"/>
      <c r="I14" s="894"/>
      <c r="J14" s="874">
        <f>SUM(J6:J13)</f>
        <v>0</v>
      </c>
      <c r="K14" s="875"/>
      <c r="L14" s="876">
        <f>SUM(L6:L13)</f>
        <v>0</v>
      </c>
      <c r="M14" s="896"/>
      <c r="N14" s="874">
        <f>SUM(N6:N13)</f>
        <v>0</v>
      </c>
      <c r="O14" s="875"/>
      <c r="P14" s="876">
        <f>SUM(P6:P13)</f>
        <v>0</v>
      </c>
    </row>
    <row r="15" spans="2:16" ht="13.5" thickBot="1">
      <c r="B15" s="2088" t="s">
        <v>1128</v>
      </c>
      <c r="C15" s="898" t="str">
        <f>C6</f>
        <v>北</v>
      </c>
      <c r="D15" s="882">
        <f>結果!H71</f>
        <v>0</v>
      </c>
      <c r="E15" s="882">
        <f>結果!J71</f>
        <v>0</v>
      </c>
      <c r="F15" s="882">
        <f>結果!L71</f>
        <v>0</v>
      </c>
      <c r="G15" s="899">
        <f>結果!Q71</f>
        <v>0</v>
      </c>
      <c r="H15" s="1010"/>
      <c r="I15" s="1010"/>
      <c r="J15" s="894"/>
      <c r="K15" s="894"/>
      <c r="L15" s="894"/>
      <c r="M15" s="896"/>
      <c r="N15" s="896"/>
      <c r="O15" s="896"/>
      <c r="P15" s="897"/>
    </row>
    <row r="16" spans="2:16" ht="13" customHeight="1">
      <c r="B16" s="2077"/>
      <c r="C16" s="846" t="str">
        <f t="shared" ref="C16:C32" si="6">C7</f>
        <v>北東</v>
      </c>
      <c r="D16" s="847">
        <f>結果!H72</f>
        <v>0</v>
      </c>
      <c r="E16" s="847">
        <f>結果!J72</f>
        <v>0</v>
      </c>
      <c r="F16" s="847">
        <f>結果!L72</f>
        <v>0</v>
      </c>
      <c r="G16" s="848">
        <f>結果!Q72</f>
        <v>0</v>
      </c>
      <c r="H16" s="1010"/>
      <c r="I16" s="1010"/>
      <c r="J16" s="2084" t="s">
        <v>1125</v>
      </c>
      <c r="K16" s="2084" t="s">
        <v>1140</v>
      </c>
      <c r="L16" s="2084" t="s">
        <v>1126</v>
      </c>
      <c r="M16" s="896"/>
      <c r="N16" s="2084" t="s">
        <v>1127</v>
      </c>
      <c r="O16" s="2084" t="s">
        <v>1140</v>
      </c>
      <c r="P16" s="2084" t="s">
        <v>1390</v>
      </c>
    </row>
    <row r="17" spans="2:16">
      <c r="B17" s="2077"/>
      <c r="C17" s="846" t="str">
        <f t="shared" si="6"/>
        <v>東</v>
      </c>
      <c r="D17" s="847">
        <f>結果!H73</f>
        <v>0</v>
      </c>
      <c r="E17" s="847">
        <f>結果!J73</f>
        <v>0</v>
      </c>
      <c r="F17" s="847">
        <f>結果!L73</f>
        <v>0</v>
      </c>
      <c r="G17" s="848">
        <f>結果!Q73</f>
        <v>0</v>
      </c>
      <c r="H17" s="1010"/>
      <c r="I17" s="1010"/>
      <c r="J17" s="2085"/>
      <c r="K17" s="2085"/>
      <c r="L17" s="2085"/>
      <c r="M17" s="896"/>
      <c r="N17" s="2085"/>
      <c r="O17" s="2085"/>
      <c r="P17" s="2085"/>
    </row>
    <row r="18" spans="2:16">
      <c r="B18" s="2077"/>
      <c r="C18" s="846" t="str">
        <f t="shared" si="6"/>
        <v>南東</v>
      </c>
      <c r="D18" s="847">
        <f>結果!H74</f>
        <v>0</v>
      </c>
      <c r="E18" s="847">
        <f>結果!J74</f>
        <v>0</v>
      </c>
      <c r="F18" s="847">
        <f>結果!L74</f>
        <v>0</v>
      </c>
      <c r="G18" s="848">
        <f>結果!Q74</f>
        <v>0</v>
      </c>
      <c r="H18" s="1010"/>
      <c r="I18" s="1010"/>
      <c r="J18" s="2085"/>
      <c r="K18" s="2085"/>
      <c r="L18" s="2085"/>
      <c r="M18" s="896"/>
      <c r="N18" s="2085"/>
      <c r="O18" s="2085"/>
      <c r="P18" s="2085"/>
    </row>
    <row r="19" spans="2:16">
      <c r="B19" s="2077"/>
      <c r="C19" s="846" t="str">
        <f t="shared" si="6"/>
        <v>南</v>
      </c>
      <c r="D19" s="847">
        <f>結果!H75</f>
        <v>0</v>
      </c>
      <c r="E19" s="847">
        <f>結果!J75</f>
        <v>0</v>
      </c>
      <c r="F19" s="847">
        <f>結果!L75</f>
        <v>0</v>
      </c>
      <c r="G19" s="848">
        <f>結果!Q75</f>
        <v>0</v>
      </c>
      <c r="H19" s="1010"/>
      <c r="I19" s="1010"/>
      <c r="J19" s="2085"/>
      <c r="K19" s="2085"/>
      <c r="L19" s="2085"/>
      <c r="M19" s="896"/>
      <c r="N19" s="2085"/>
      <c r="O19" s="2085"/>
      <c r="P19" s="2085"/>
    </row>
    <row r="20" spans="2:16">
      <c r="B20" s="2077"/>
      <c r="C20" s="846" t="str">
        <f t="shared" si="6"/>
        <v>南西</v>
      </c>
      <c r="D20" s="847">
        <f>結果!H76</f>
        <v>0</v>
      </c>
      <c r="E20" s="847">
        <f>結果!J76</f>
        <v>0</v>
      </c>
      <c r="F20" s="847">
        <f>結果!L76</f>
        <v>0</v>
      </c>
      <c r="G20" s="848">
        <f>結果!Q76</f>
        <v>0</v>
      </c>
      <c r="H20" s="1010"/>
      <c r="I20" s="1010"/>
      <c r="J20" s="2085"/>
      <c r="K20" s="2085"/>
      <c r="L20" s="2085"/>
      <c r="M20" s="896"/>
      <c r="N20" s="2085"/>
      <c r="O20" s="2085"/>
      <c r="P20" s="2085"/>
    </row>
    <row r="21" spans="2:16">
      <c r="B21" s="2077"/>
      <c r="C21" s="846" t="str">
        <f t="shared" si="6"/>
        <v>西</v>
      </c>
      <c r="D21" s="847">
        <f>結果!H77</f>
        <v>0</v>
      </c>
      <c r="E21" s="847">
        <f>結果!J77</f>
        <v>0</v>
      </c>
      <c r="F21" s="847">
        <f>結果!L77</f>
        <v>0</v>
      </c>
      <c r="G21" s="848">
        <f>結果!Q77</f>
        <v>0</v>
      </c>
      <c r="H21" s="1010"/>
      <c r="I21" s="1010"/>
      <c r="J21" s="2085"/>
      <c r="K21" s="2085"/>
      <c r="L21" s="2085"/>
      <c r="M21" s="896"/>
      <c r="N21" s="2085"/>
      <c r="O21" s="2085"/>
      <c r="P21" s="2085"/>
    </row>
    <row r="22" spans="2:16" ht="13.5" thickBot="1">
      <c r="B22" s="2077"/>
      <c r="C22" s="849" t="str">
        <f t="shared" si="6"/>
        <v>北西</v>
      </c>
      <c r="D22" s="850">
        <f>結果!H78</f>
        <v>0</v>
      </c>
      <c r="E22" s="847">
        <f>結果!J78</f>
        <v>0</v>
      </c>
      <c r="F22" s="847">
        <f>結果!L78</f>
        <v>0</v>
      </c>
      <c r="G22" s="848">
        <f>結果!Q78</f>
        <v>0</v>
      </c>
      <c r="H22" s="1010"/>
      <c r="I22" s="1010"/>
      <c r="J22" s="2086"/>
      <c r="K22" s="2085"/>
      <c r="L22" s="2085"/>
      <c r="M22" s="896"/>
      <c r="N22" s="2085"/>
      <c r="O22" s="2085"/>
      <c r="P22" s="2085"/>
    </row>
    <row r="23" spans="2:16" ht="13" customHeight="1" thickBot="1">
      <c r="B23" s="2079"/>
      <c r="C23" s="852" t="str">
        <f t="shared" si="6"/>
        <v>合計</v>
      </c>
      <c r="D23" s="853">
        <f>SUM(D15:D22)</f>
        <v>0</v>
      </c>
      <c r="E23" s="853">
        <f t="shared" ref="E23:G23" si="7">SUM(E15:E22)</f>
        <v>0</v>
      </c>
      <c r="F23" s="853">
        <f t="shared" si="7"/>
        <v>0</v>
      </c>
      <c r="G23" s="854">
        <f t="shared" si="7"/>
        <v>0</v>
      </c>
      <c r="H23" s="1010"/>
      <c r="I23" s="1010"/>
      <c r="J23" s="855" t="str">
        <f>IF(D32&gt;=D33,"９時",IF(E32&gt;=D33,"１２時","１５時"))</f>
        <v>９時</v>
      </c>
      <c r="K23" s="2087"/>
      <c r="L23" s="2087"/>
      <c r="M23" s="896"/>
      <c r="N23" s="999"/>
      <c r="O23" s="2087"/>
      <c r="P23" s="2087"/>
    </row>
    <row r="24" spans="2:16">
      <c r="B24" s="2076" t="s">
        <v>1129</v>
      </c>
      <c r="C24" s="856" t="str">
        <f>C15</f>
        <v>北</v>
      </c>
      <c r="D24" s="844">
        <f>D6-D15</f>
        <v>0</v>
      </c>
      <c r="E24" s="844">
        <f t="shared" ref="E24:G24" si="8">E6-E15</f>
        <v>0</v>
      </c>
      <c r="F24" s="844">
        <f t="shared" si="8"/>
        <v>0</v>
      </c>
      <c r="G24" s="845">
        <f t="shared" si="8"/>
        <v>0</v>
      </c>
      <c r="H24" s="1010"/>
      <c r="I24" s="1010"/>
      <c r="J24" s="857">
        <f>IF(D32&gt;=D33,D24,IF(E32&gt;=D33,E24,F24))</f>
        <v>0</v>
      </c>
      <c r="K24" s="903">
        <f>温度条件他根拠!E29</f>
        <v>0</v>
      </c>
      <c r="L24" s="859">
        <f>K24*J24</f>
        <v>0</v>
      </c>
      <c r="M24" s="896"/>
      <c r="N24" s="860">
        <f>G24</f>
        <v>0</v>
      </c>
      <c r="O24" s="903">
        <f>K24</f>
        <v>0</v>
      </c>
      <c r="P24" s="859">
        <f>O24*N24</f>
        <v>0</v>
      </c>
    </row>
    <row r="25" spans="2:16">
      <c r="B25" s="2077"/>
      <c r="C25" s="861" t="str">
        <f t="shared" si="6"/>
        <v>北東</v>
      </c>
      <c r="D25" s="847">
        <f t="shared" ref="D25:G31" si="9">D7-D16</f>
        <v>0</v>
      </c>
      <c r="E25" s="847">
        <f t="shared" si="9"/>
        <v>0</v>
      </c>
      <c r="F25" s="847">
        <f t="shared" si="9"/>
        <v>0</v>
      </c>
      <c r="G25" s="848">
        <f t="shared" si="9"/>
        <v>0</v>
      </c>
      <c r="H25" s="1010"/>
      <c r="I25" s="1010"/>
      <c r="J25" s="862">
        <f>IF(D32&gt;=D33,D25,IF(E32&gt;=D33,E25,F25))</f>
        <v>0</v>
      </c>
      <c r="K25" s="904">
        <f>K24</f>
        <v>0</v>
      </c>
      <c r="L25" s="864">
        <f t="shared" ref="L25:L31" si="10">K25*J25</f>
        <v>0</v>
      </c>
      <c r="M25" s="896"/>
      <c r="N25" s="865">
        <f>G25</f>
        <v>0</v>
      </c>
      <c r="O25" s="904">
        <f>K25</f>
        <v>0</v>
      </c>
      <c r="P25" s="864">
        <f t="shared" ref="P25:P31" si="11">O25*N25</f>
        <v>0</v>
      </c>
    </row>
    <row r="26" spans="2:16">
      <c r="B26" s="2077"/>
      <c r="C26" s="861" t="str">
        <f t="shared" si="6"/>
        <v>東</v>
      </c>
      <c r="D26" s="847">
        <f t="shared" si="9"/>
        <v>0</v>
      </c>
      <c r="E26" s="847">
        <f t="shared" si="9"/>
        <v>0</v>
      </c>
      <c r="F26" s="847">
        <f t="shared" si="9"/>
        <v>0</v>
      </c>
      <c r="G26" s="848">
        <f t="shared" si="9"/>
        <v>0</v>
      </c>
      <c r="H26" s="1010"/>
      <c r="I26" s="1010"/>
      <c r="J26" s="862">
        <f>IF(D32&gt;=D33,D26,IF(E32&gt;=D33,E26,F26))</f>
        <v>0</v>
      </c>
      <c r="K26" s="904">
        <f>K24</f>
        <v>0</v>
      </c>
      <c r="L26" s="864">
        <f t="shared" si="10"/>
        <v>0</v>
      </c>
      <c r="M26" s="896"/>
      <c r="N26" s="865">
        <f t="shared" ref="N26:N31" si="12">G26</f>
        <v>0</v>
      </c>
      <c r="O26" s="904">
        <f t="shared" ref="O26:O31" si="13">K26</f>
        <v>0</v>
      </c>
      <c r="P26" s="864">
        <f t="shared" si="11"/>
        <v>0</v>
      </c>
    </row>
    <row r="27" spans="2:16">
      <c r="B27" s="2077"/>
      <c r="C27" s="861" t="str">
        <f t="shared" si="6"/>
        <v>南東</v>
      </c>
      <c r="D27" s="847">
        <f t="shared" si="9"/>
        <v>0</v>
      </c>
      <c r="E27" s="847">
        <f t="shared" si="9"/>
        <v>0</v>
      </c>
      <c r="F27" s="847">
        <f t="shared" si="9"/>
        <v>0</v>
      </c>
      <c r="G27" s="848">
        <f t="shared" si="9"/>
        <v>0</v>
      </c>
      <c r="H27" s="1010"/>
      <c r="I27" s="1010"/>
      <c r="J27" s="862">
        <f>IF(D32&gt;=D33,D27,IF(E32&gt;=D33,E27,F27))</f>
        <v>0</v>
      </c>
      <c r="K27" s="904">
        <f t="shared" ref="K27:K31" si="14">K25</f>
        <v>0</v>
      </c>
      <c r="L27" s="864">
        <f t="shared" si="10"/>
        <v>0</v>
      </c>
      <c r="M27" s="896"/>
      <c r="N27" s="865">
        <f t="shared" si="12"/>
        <v>0</v>
      </c>
      <c r="O27" s="904">
        <f t="shared" si="13"/>
        <v>0</v>
      </c>
      <c r="P27" s="864">
        <f t="shared" si="11"/>
        <v>0</v>
      </c>
    </row>
    <row r="28" spans="2:16">
      <c r="B28" s="2077"/>
      <c r="C28" s="861" t="str">
        <f t="shared" si="6"/>
        <v>南</v>
      </c>
      <c r="D28" s="847">
        <f t="shared" si="9"/>
        <v>0</v>
      </c>
      <c r="E28" s="847">
        <f t="shared" si="9"/>
        <v>0</v>
      </c>
      <c r="F28" s="847">
        <f t="shared" si="9"/>
        <v>0</v>
      </c>
      <c r="G28" s="848">
        <f t="shared" si="9"/>
        <v>0</v>
      </c>
      <c r="H28" s="1010"/>
      <c r="I28" s="1010"/>
      <c r="J28" s="862">
        <f>IF(D32&gt;=D33,D28,IF(E32&gt;=D33,E28,F28))</f>
        <v>0</v>
      </c>
      <c r="K28" s="904">
        <f t="shared" si="14"/>
        <v>0</v>
      </c>
      <c r="L28" s="864">
        <f t="shared" si="10"/>
        <v>0</v>
      </c>
      <c r="M28" s="896"/>
      <c r="N28" s="865">
        <f t="shared" si="12"/>
        <v>0</v>
      </c>
      <c r="O28" s="904">
        <f t="shared" si="13"/>
        <v>0</v>
      </c>
      <c r="P28" s="864">
        <f t="shared" si="11"/>
        <v>0</v>
      </c>
    </row>
    <row r="29" spans="2:16">
      <c r="B29" s="2077"/>
      <c r="C29" s="861" t="str">
        <f t="shared" si="6"/>
        <v>南西</v>
      </c>
      <c r="D29" s="847">
        <f t="shared" si="9"/>
        <v>0</v>
      </c>
      <c r="E29" s="847">
        <f t="shared" si="9"/>
        <v>0</v>
      </c>
      <c r="F29" s="847">
        <f t="shared" si="9"/>
        <v>0</v>
      </c>
      <c r="G29" s="848">
        <f t="shared" si="9"/>
        <v>0</v>
      </c>
      <c r="H29" s="1010"/>
      <c r="I29" s="1010"/>
      <c r="J29" s="862">
        <f>IF(D32&gt;=D33,D29,IF(E32&gt;=D33,E29,F29))</f>
        <v>0</v>
      </c>
      <c r="K29" s="904">
        <f t="shared" si="14"/>
        <v>0</v>
      </c>
      <c r="L29" s="864">
        <f t="shared" si="10"/>
        <v>0</v>
      </c>
      <c r="M29" s="896"/>
      <c r="N29" s="865">
        <f t="shared" si="12"/>
        <v>0</v>
      </c>
      <c r="O29" s="904">
        <f t="shared" si="13"/>
        <v>0</v>
      </c>
      <c r="P29" s="864">
        <f t="shared" si="11"/>
        <v>0</v>
      </c>
    </row>
    <row r="30" spans="2:16">
      <c r="B30" s="2077"/>
      <c r="C30" s="861" t="str">
        <f t="shared" si="6"/>
        <v>西</v>
      </c>
      <c r="D30" s="847">
        <f t="shared" si="9"/>
        <v>0</v>
      </c>
      <c r="E30" s="847">
        <f t="shared" si="9"/>
        <v>0</v>
      </c>
      <c r="F30" s="847">
        <f t="shared" si="9"/>
        <v>0</v>
      </c>
      <c r="G30" s="848">
        <f t="shared" si="9"/>
        <v>0</v>
      </c>
      <c r="H30" s="1010"/>
      <c r="I30" s="1010"/>
      <c r="J30" s="862">
        <f>IF(D32&gt;=D33,D30,IF(E32&gt;=D33,E30,F30))</f>
        <v>0</v>
      </c>
      <c r="K30" s="904">
        <f t="shared" si="14"/>
        <v>0</v>
      </c>
      <c r="L30" s="864">
        <f t="shared" si="10"/>
        <v>0</v>
      </c>
      <c r="M30" s="896"/>
      <c r="N30" s="865">
        <f t="shared" si="12"/>
        <v>0</v>
      </c>
      <c r="O30" s="904">
        <f t="shared" si="13"/>
        <v>0</v>
      </c>
      <c r="P30" s="864">
        <f t="shared" si="11"/>
        <v>0</v>
      </c>
    </row>
    <row r="31" spans="2:16" ht="13.5" thickBot="1">
      <c r="B31" s="2077"/>
      <c r="C31" s="867" t="str">
        <f t="shared" si="6"/>
        <v>北西</v>
      </c>
      <c r="D31" s="850">
        <f t="shared" si="9"/>
        <v>0</v>
      </c>
      <c r="E31" s="850">
        <f t="shared" si="9"/>
        <v>0</v>
      </c>
      <c r="F31" s="850">
        <f t="shared" si="9"/>
        <v>0</v>
      </c>
      <c r="G31" s="851">
        <f t="shared" si="9"/>
        <v>0</v>
      </c>
      <c r="H31" s="1010"/>
      <c r="I31" s="1010"/>
      <c r="J31" s="868">
        <f>IF(D32&gt;=D33,D31,IF(E32&gt;=D33,E31,F31))</f>
        <v>0</v>
      </c>
      <c r="K31" s="904">
        <f t="shared" si="14"/>
        <v>0</v>
      </c>
      <c r="L31" s="870">
        <f t="shared" si="10"/>
        <v>0</v>
      </c>
      <c r="M31" s="896"/>
      <c r="N31" s="865">
        <f t="shared" si="12"/>
        <v>0</v>
      </c>
      <c r="O31" s="904">
        <f t="shared" si="13"/>
        <v>0</v>
      </c>
      <c r="P31" s="870">
        <f t="shared" si="11"/>
        <v>0</v>
      </c>
    </row>
    <row r="32" spans="2:16" ht="13.5" thickBot="1">
      <c r="B32" s="2078"/>
      <c r="C32" s="871" t="str">
        <f t="shared" si="6"/>
        <v>合計</v>
      </c>
      <c r="D32" s="872">
        <f>SUM(D24:D31)</f>
        <v>0</v>
      </c>
      <c r="E32" s="872">
        <f t="shared" ref="E32:G32" si="15">SUM(E24:E31)</f>
        <v>0</v>
      </c>
      <c r="F32" s="872">
        <f t="shared" si="15"/>
        <v>0</v>
      </c>
      <c r="G32" s="873">
        <f t="shared" si="15"/>
        <v>0</v>
      </c>
      <c r="H32" s="1010"/>
      <c r="I32" s="1010"/>
      <c r="J32" s="874">
        <f>SUM(J24:J31)</f>
        <v>0</v>
      </c>
      <c r="K32" s="875"/>
      <c r="L32" s="876">
        <f>SUM(L24:L31)</f>
        <v>0</v>
      </c>
      <c r="M32" s="896"/>
      <c r="N32" s="874">
        <f>SUM(N24:N31)</f>
        <v>0</v>
      </c>
      <c r="O32" s="875"/>
      <c r="P32" s="876">
        <f>SUM(P24:P31)</f>
        <v>0</v>
      </c>
    </row>
    <row r="33" spans="2:30" ht="13.5" thickBot="1">
      <c r="B33" s="2079"/>
      <c r="C33" s="871" t="s">
        <v>1130</v>
      </c>
      <c r="D33" s="2081">
        <f>MAX(D32:F32)</f>
        <v>0</v>
      </c>
      <c r="E33" s="2082"/>
      <c r="F33" s="2083"/>
      <c r="G33" s="873">
        <f>G32</f>
        <v>0</v>
      </c>
      <c r="H33" s="894"/>
      <c r="I33" s="894"/>
      <c r="J33" s="894"/>
      <c r="K33" s="894"/>
      <c r="L33" s="894"/>
      <c r="M33" s="896"/>
      <c r="N33" s="896"/>
      <c r="O33" s="896"/>
      <c r="P33" s="897"/>
    </row>
    <row r="34" spans="2:30">
      <c r="B34" s="888"/>
      <c r="C34" s="889"/>
      <c r="D34" s="817"/>
      <c r="E34" s="81"/>
      <c r="F34" s="81"/>
      <c r="G34" s="81"/>
      <c r="H34" s="81"/>
      <c r="I34" s="81"/>
      <c r="J34" s="81"/>
      <c r="K34" s="81"/>
      <c r="L34" s="81"/>
      <c r="M34" s="81"/>
      <c r="N34" s="81"/>
      <c r="O34" s="81"/>
    </row>
    <row r="35" spans="2:30">
      <c r="B35" s="888"/>
      <c r="C35" s="889"/>
      <c r="D35" s="817"/>
      <c r="E35" s="81"/>
      <c r="F35" s="81"/>
      <c r="G35" s="81"/>
      <c r="H35" s="81"/>
      <c r="I35" s="81"/>
      <c r="J35" s="81"/>
      <c r="K35" s="81"/>
      <c r="L35" s="81"/>
      <c r="M35" s="81"/>
      <c r="N35" s="81"/>
      <c r="O35" s="81"/>
    </row>
    <row r="36" spans="2:30">
      <c r="B36" s="888"/>
      <c r="C36" s="889"/>
      <c r="D36" s="817"/>
      <c r="E36" s="81"/>
      <c r="F36" s="81"/>
      <c r="G36" s="81"/>
      <c r="H36" s="81"/>
      <c r="I36" s="81"/>
      <c r="J36" s="81"/>
      <c r="K36" s="81"/>
      <c r="L36" s="81"/>
      <c r="M36" s="81"/>
      <c r="N36" s="81"/>
      <c r="O36" s="81"/>
    </row>
    <row r="37" spans="2:30">
      <c r="B37" s="888"/>
      <c r="C37" s="889"/>
      <c r="D37" s="817"/>
      <c r="E37" s="81"/>
      <c r="F37" s="81"/>
      <c r="G37" s="81"/>
      <c r="H37" s="81"/>
      <c r="I37" s="81"/>
      <c r="J37" s="81"/>
      <c r="K37" s="81"/>
      <c r="L37" s="81"/>
      <c r="M37" s="81"/>
      <c r="N37" s="81"/>
      <c r="O37" s="81"/>
    </row>
    <row r="38" spans="2:30">
      <c r="B38" s="888"/>
      <c r="C38" s="889"/>
      <c r="D38" s="817"/>
      <c r="E38" s="81"/>
      <c r="F38" s="81"/>
      <c r="G38" s="81"/>
      <c r="H38" s="81"/>
      <c r="I38" s="81"/>
      <c r="J38" s="81"/>
      <c r="K38" s="81"/>
      <c r="L38" s="81"/>
      <c r="M38" s="81"/>
      <c r="N38" s="81"/>
      <c r="O38" s="81"/>
    </row>
    <row r="39" spans="2:30">
      <c r="B39" s="888"/>
      <c r="C39" s="889"/>
      <c r="D39" s="817"/>
      <c r="E39" s="81"/>
      <c r="F39" s="81"/>
      <c r="G39" s="81"/>
      <c r="H39" s="81"/>
      <c r="I39" s="81"/>
      <c r="J39" s="81"/>
      <c r="K39" s="81"/>
      <c r="L39" s="81"/>
      <c r="M39" s="81"/>
      <c r="N39" s="81"/>
      <c r="O39" s="81"/>
    </row>
    <row r="40" spans="2:30">
      <c r="B40" s="888"/>
      <c r="C40" s="889"/>
      <c r="D40" s="817"/>
      <c r="E40" s="81"/>
      <c r="F40" s="81"/>
      <c r="G40" s="81"/>
      <c r="H40" s="81"/>
      <c r="I40" s="81"/>
      <c r="J40" s="81"/>
      <c r="K40" s="81"/>
      <c r="L40" s="81"/>
      <c r="M40" s="81"/>
      <c r="N40" s="81"/>
      <c r="O40" s="81"/>
    </row>
    <row r="41" spans="2:30">
      <c r="B41" s="888"/>
      <c r="C41" s="889"/>
      <c r="D41" s="817"/>
      <c r="E41" s="81"/>
      <c r="F41" s="81"/>
      <c r="G41" s="81"/>
      <c r="H41" s="81"/>
      <c r="I41" s="81"/>
      <c r="J41" s="81"/>
      <c r="K41" s="81"/>
      <c r="L41" s="81"/>
      <c r="M41" s="81"/>
      <c r="N41" s="81"/>
      <c r="O41" s="81"/>
    </row>
    <row r="42" spans="2:30">
      <c r="B42" s="888"/>
      <c r="C42" s="889"/>
      <c r="D42" s="817"/>
      <c r="E42" s="81"/>
      <c r="F42" s="81"/>
      <c r="G42" s="81"/>
      <c r="H42" s="81"/>
      <c r="I42" s="81"/>
      <c r="J42" s="81"/>
      <c r="K42" s="81"/>
      <c r="L42" s="81"/>
      <c r="M42" s="81"/>
      <c r="N42" s="81"/>
      <c r="O42" s="81"/>
    </row>
    <row r="43" spans="2:30">
      <c r="B43" s="888"/>
      <c r="C43" s="889"/>
      <c r="D43" s="817"/>
      <c r="E43" s="81"/>
      <c r="F43" s="81"/>
      <c r="G43" s="81"/>
      <c r="H43" s="81"/>
      <c r="I43" s="81"/>
      <c r="J43" s="81"/>
      <c r="K43" s="81"/>
      <c r="L43" s="81"/>
      <c r="M43" s="81"/>
      <c r="N43" s="81"/>
      <c r="O43" s="81"/>
    </row>
    <row r="44" spans="2:30">
      <c r="B44" s="888"/>
      <c r="C44" s="889"/>
      <c r="D44" s="817"/>
      <c r="E44" s="81"/>
      <c r="F44" s="81"/>
      <c r="G44" s="81"/>
      <c r="H44" s="81"/>
      <c r="I44" s="81"/>
      <c r="J44" s="81"/>
      <c r="K44" s="81"/>
      <c r="L44" s="81"/>
      <c r="M44" s="81"/>
      <c r="N44" s="81"/>
      <c r="O44" s="81"/>
    </row>
    <row r="45" spans="2:30">
      <c r="B45" s="1129" t="s">
        <v>183</v>
      </c>
      <c r="C45" s="1129"/>
      <c r="D45" s="1129"/>
      <c r="E45" s="1129"/>
      <c r="F45" s="1129"/>
      <c r="G45" s="1129"/>
      <c r="H45" s="1129"/>
      <c r="I45" s="1129"/>
      <c r="J45" s="1129"/>
      <c r="K45" s="1129"/>
      <c r="L45" s="1129"/>
      <c r="M45" s="1129"/>
      <c r="N45" s="1129"/>
      <c r="O45" s="1129"/>
      <c r="Q45" s="1" t="s">
        <v>563</v>
      </c>
    </row>
    <row r="46" spans="2:30" ht="36">
      <c r="B46" s="801" t="s">
        <v>0</v>
      </c>
      <c r="C46" s="814" t="s">
        <v>1117</v>
      </c>
      <c r="D46" s="814" t="s">
        <v>1118</v>
      </c>
      <c r="E46" s="814" t="s">
        <v>1116</v>
      </c>
      <c r="F46" s="20" t="s">
        <v>42</v>
      </c>
      <c r="G46" s="20" t="s">
        <v>43</v>
      </c>
      <c r="H46" s="18" t="s">
        <v>35</v>
      </c>
      <c r="I46" s="20" t="s">
        <v>36</v>
      </c>
      <c r="J46" s="20" t="s">
        <v>2</v>
      </c>
      <c r="K46" s="20" t="s">
        <v>3</v>
      </c>
      <c r="L46" s="20" t="s">
        <v>39</v>
      </c>
      <c r="M46" s="20" t="s">
        <v>38</v>
      </c>
      <c r="N46" s="20" t="s">
        <v>45</v>
      </c>
      <c r="O46" s="20" t="s">
        <v>44</v>
      </c>
      <c r="Q46" s="801" t="s">
        <v>0</v>
      </c>
      <c r="R46" s="1017" t="s">
        <v>1391</v>
      </c>
      <c r="S46" s="1017" t="s">
        <v>1392</v>
      </c>
      <c r="T46" s="1017" t="s">
        <v>1116</v>
      </c>
      <c r="U46" s="20" t="s">
        <v>42</v>
      </c>
      <c r="V46" s="20" t="s">
        <v>43</v>
      </c>
      <c r="W46" s="18" t="s">
        <v>566</v>
      </c>
      <c r="X46" s="20" t="s">
        <v>567</v>
      </c>
      <c r="Y46" s="20" t="s">
        <v>2</v>
      </c>
      <c r="Z46" s="20" t="s">
        <v>3</v>
      </c>
      <c r="AA46" s="20" t="s">
        <v>568</v>
      </c>
      <c r="AB46" s="20" t="s">
        <v>569</v>
      </c>
      <c r="AC46" s="20" t="s">
        <v>570</v>
      </c>
      <c r="AD46" s="20" t="s">
        <v>571</v>
      </c>
    </row>
    <row r="47" spans="2:30" ht="36">
      <c r="B47" s="801" t="s">
        <v>14</v>
      </c>
      <c r="C47" s="20" t="s">
        <v>16</v>
      </c>
      <c r="D47" s="20" t="s">
        <v>17</v>
      </c>
      <c r="E47" s="20" t="s">
        <v>18</v>
      </c>
      <c r="F47" s="20" t="s">
        <v>19</v>
      </c>
      <c r="G47" s="20" t="s">
        <v>20</v>
      </c>
      <c r="H47" s="20" t="s">
        <v>30</v>
      </c>
      <c r="I47" s="20" t="s">
        <v>29</v>
      </c>
      <c r="J47" s="20" t="s">
        <v>21</v>
      </c>
      <c r="K47" s="20" t="s">
        <v>22</v>
      </c>
      <c r="L47" s="688" t="s">
        <v>608</v>
      </c>
      <c r="M47" s="688" t="s">
        <v>607</v>
      </c>
      <c r="N47" s="802" t="s">
        <v>25</v>
      </c>
      <c r="O47" s="20" t="s">
        <v>32</v>
      </c>
      <c r="Q47" s="801" t="s">
        <v>14</v>
      </c>
      <c r="R47" s="20" t="s">
        <v>16</v>
      </c>
      <c r="S47" s="20" t="s">
        <v>17</v>
      </c>
      <c r="T47" s="20" t="s">
        <v>18</v>
      </c>
      <c r="U47" s="20" t="s">
        <v>19</v>
      </c>
      <c r="V47" s="20" t="s">
        <v>20</v>
      </c>
      <c r="W47" s="20" t="s">
        <v>30</v>
      </c>
      <c r="X47" s="20" t="s">
        <v>29</v>
      </c>
      <c r="Y47" s="20" t="s">
        <v>21</v>
      </c>
      <c r="Z47" s="20" t="s">
        <v>22</v>
      </c>
      <c r="AA47" s="688" t="s">
        <v>608</v>
      </c>
      <c r="AB47" s="688" t="s">
        <v>607</v>
      </c>
      <c r="AC47" s="802" t="s">
        <v>25</v>
      </c>
      <c r="AD47" s="20" t="s">
        <v>32</v>
      </c>
    </row>
    <row r="48" spans="2:30">
      <c r="B48" s="798" t="s">
        <v>15</v>
      </c>
      <c r="C48" s="835" t="s">
        <v>1115</v>
      </c>
      <c r="D48" s="835" t="s">
        <v>1115</v>
      </c>
      <c r="E48" s="835" t="s">
        <v>172</v>
      </c>
      <c r="F48" s="5" t="s">
        <v>10</v>
      </c>
      <c r="G48" s="5" t="s">
        <v>10</v>
      </c>
      <c r="H48" s="5" t="s">
        <v>11</v>
      </c>
      <c r="I48" s="5" t="s">
        <v>11</v>
      </c>
      <c r="J48" s="5" t="s">
        <v>10</v>
      </c>
      <c r="K48" s="5" t="s">
        <v>10</v>
      </c>
      <c r="L48" s="5" t="s">
        <v>11</v>
      </c>
      <c r="M48" s="5" t="s">
        <v>11</v>
      </c>
      <c r="N48" s="5" t="s">
        <v>11</v>
      </c>
      <c r="O48" s="798" t="s">
        <v>31</v>
      </c>
      <c r="Q48" s="798" t="s">
        <v>15</v>
      </c>
      <c r="R48" s="835" t="s">
        <v>1115</v>
      </c>
      <c r="S48" s="835" t="s">
        <v>1115</v>
      </c>
      <c r="T48" s="835" t="s">
        <v>172</v>
      </c>
      <c r="U48" s="5" t="s">
        <v>10</v>
      </c>
      <c r="V48" s="5" t="s">
        <v>10</v>
      </c>
      <c r="W48" s="5" t="s">
        <v>11</v>
      </c>
      <c r="X48" s="5" t="s">
        <v>11</v>
      </c>
      <c r="Y48" s="5" t="s">
        <v>10</v>
      </c>
      <c r="Z48" s="5" t="s">
        <v>10</v>
      </c>
      <c r="AA48" s="5" t="s">
        <v>11</v>
      </c>
      <c r="AB48" s="5" t="s">
        <v>11</v>
      </c>
      <c r="AC48" s="5" t="s">
        <v>11</v>
      </c>
      <c r="AD48" s="798" t="s">
        <v>31</v>
      </c>
    </row>
    <row r="49" spans="2:30">
      <c r="B49" s="798">
        <v>1</v>
      </c>
      <c r="C49" s="3"/>
      <c r="D49" s="836">
        <f>P32</f>
        <v>0</v>
      </c>
      <c r="E49" s="837">
        <f>温度条件他根拠!E21</f>
        <v>0</v>
      </c>
      <c r="F49" s="838">
        <v>0</v>
      </c>
      <c r="G49" s="839">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798">
        <v>1</v>
      </c>
      <c r="R49" s="3"/>
      <c r="S49" s="836">
        <f>P14</f>
        <v>0</v>
      </c>
      <c r="T49" s="837">
        <f>温度条件他根拠!E21</f>
        <v>0</v>
      </c>
      <c r="U49" s="838">
        <f>F49</f>
        <v>0</v>
      </c>
      <c r="V49" s="1001">
        <f>G49</f>
        <v>0.79999999999999993</v>
      </c>
      <c r="W49" s="7">
        <f t="shared" ref="W49:W60" si="17">$R$56*T49*U49/1000</f>
        <v>0</v>
      </c>
      <c r="X49" s="7">
        <f t="shared" ref="X49:X60"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798">
        <v>2</v>
      </c>
      <c r="C50" s="3"/>
      <c r="D50" s="3"/>
      <c r="E50" s="838">
        <f>E49</f>
        <v>0</v>
      </c>
      <c r="F50" s="838">
        <v>0</v>
      </c>
      <c r="G50" s="839">
        <f>0.8*(温度条件他根拠!$D$10--0.6)/(温度条件他根拠!$D$10-温度条件他根拠!$D$8)</f>
        <v>0.7665116279069768</v>
      </c>
      <c r="H50" s="7">
        <f t="shared" ref="H50:H60" si="20">$C$56*E50*F50/1000</f>
        <v>0</v>
      </c>
      <c r="I50" s="7">
        <f t="shared" ref="I50:I60" si="21">G50*E50*$D$49/1000</f>
        <v>0</v>
      </c>
      <c r="J50" s="6">
        <f>温度条件他根拠!$C$61</f>
        <v>3.55</v>
      </c>
      <c r="K50" s="6">
        <f>温度条件他根拠!$C$62</f>
        <v>3.95</v>
      </c>
      <c r="L50" s="7">
        <f t="shared" si="16"/>
        <v>0</v>
      </c>
      <c r="M50" s="7">
        <f t="shared" si="16"/>
        <v>0</v>
      </c>
      <c r="N50" s="13">
        <f t="shared" ref="N50:N60" si="22">L50+M50</f>
        <v>0</v>
      </c>
      <c r="O50" s="12">
        <f t="shared" ref="O50:O60" si="23">N50*0.495/1000</f>
        <v>0</v>
      </c>
      <c r="Q50" s="798">
        <v>2</v>
      </c>
      <c r="R50" s="3"/>
      <c r="S50" s="3"/>
      <c r="T50" s="838">
        <f>T49</f>
        <v>0</v>
      </c>
      <c r="U50" s="838">
        <f t="shared" ref="U50:V60" si="24">F50</f>
        <v>0</v>
      </c>
      <c r="V50" s="1001">
        <f t="shared" si="24"/>
        <v>0.7665116279069768</v>
      </c>
      <c r="W50" s="7">
        <f t="shared" si="17"/>
        <v>0</v>
      </c>
      <c r="X50" s="7">
        <f t="shared" si="18"/>
        <v>0</v>
      </c>
      <c r="Y50" s="6">
        <f>温度条件他根拠!$C$61</f>
        <v>3.55</v>
      </c>
      <c r="Z50" s="6">
        <f>温度条件他根拠!$C$62</f>
        <v>3.95</v>
      </c>
      <c r="AA50" s="7">
        <f t="shared" si="19"/>
        <v>0</v>
      </c>
      <c r="AB50" s="7">
        <f t="shared" si="19"/>
        <v>0</v>
      </c>
      <c r="AC50" s="13">
        <f t="shared" ref="AC50:AC60" si="25">AA50+AB50</f>
        <v>0</v>
      </c>
      <c r="AD50" s="12">
        <f t="shared" ref="AD50:AD60" si="26">AC50*0.495/1000</f>
        <v>0</v>
      </c>
    </row>
    <row r="51" spans="2:30">
      <c r="B51" s="798">
        <v>3</v>
      </c>
      <c r="C51" s="3"/>
      <c r="D51" s="3"/>
      <c r="E51" s="838">
        <f t="shared" ref="E51:E60" si="27">E50</f>
        <v>0</v>
      </c>
      <c r="F51" s="838">
        <v>0</v>
      </c>
      <c r="G51" s="839">
        <f>0.8*(温度条件他根拠!$D$10-2.8)/(温度条件他根拠!$D$10-温度条件他根拠!$D$8)</f>
        <v>0.64</v>
      </c>
      <c r="H51" s="7">
        <f t="shared" si="20"/>
        <v>0</v>
      </c>
      <c r="I51" s="7">
        <f t="shared" si="21"/>
        <v>0</v>
      </c>
      <c r="J51" s="6">
        <f>温度条件他根拠!$C$61</f>
        <v>3.55</v>
      </c>
      <c r="K51" s="6">
        <f>温度条件他根拠!$C$62</f>
        <v>3.95</v>
      </c>
      <c r="L51" s="7">
        <f t="shared" si="16"/>
        <v>0</v>
      </c>
      <c r="M51" s="7">
        <f t="shared" si="16"/>
        <v>0</v>
      </c>
      <c r="N51" s="13">
        <f t="shared" si="22"/>
        <v>0</v>
      </c>
      <c r="O51" s="12">
        <f t="shared" si="23"/>
        <v>0</v>
      </c>
      <c r="Q51" s="798">
        <v>3</v>
      </c>
      <c r="R51" s="3"/>
      <c r="S51" s="3"/>
      <c r="T51" s="838">
        <f t="shared" ref="T51:T60" si="28">T50</f>
        <v>0</v>
      </c>
      <c r="U51" s="838">
        <f t="shared" si="24"/>
        <v>0</v>
      </c>
      <c r="V51" s="1001">
        <f t="shared" si="24"/>
        <v>0.64</v>
      </c>
      <c r="W51" s="7">
        <f t="shared" si="17"/>
        <v>0</v>
      </c>
      <c r="X51" s="7">
        <f t="shared" si="18"/>
        <v>0</v>
      </c>
      <c r="Y51" s="6">
        <f>温度条件他根拠!$C$61</f>
        <v>3.55</v>
      </c>
      <c r="Z51" s="6">
        <f>温度条件他根拠!$C$62</f>
        <v>3.95</v>
      </c>
      <c r="AA51" s="7">
        <f t="shared" si="19"/>
        <v>0</v>
      </c>
      <c r="AB51" s="7">
        <f t="shared" si="19"/>
        <v>0</v>
      </c>
      <c r="AC51" s="13">
        <f t="shared" si="25"/>
        <v>0</v>
      </c>
      <c r="AD51" s="12">
        <f t="shared" si="26"/>
        <v>0</v>
      </c>
    </row>
    <row r="52" spans="2:30">
      <c r="B52" s="798">
        <v>4</v>
      </c>
      <c r="C52" s="3"/>
      <c r="D52" s="3"/>
      <c r="E52" s="838">
        <f t="shared" si="27"/>
        <v>0</v>
      </c>
      <c r="F52" s="838">
        <v>0</v>
      </c>
      <c r="G52" s="839">
        <f>0.8*(温度条件他根拠!$D$10-8.1)/(温度条件他根拠!$D$10-温度条件他根拠!$D$8)</f>
        <v>0.44279069767441864</v>
      </c>
      <c r="H52" s="7">
        <f t="shared" si="20"/>
        <v>0</v>
      </c>
      <c r="I52" s="7">
        <f t="shared" si="21"/>
        <v>0</v>
      </c>
      <c r="J52" s="6">
        <f>温度条件他根拠!$C$61</f>
        <v>3.55</v>
      </c>
      <c r="K52" s="6">
        <f>温度条件他根拠!$C$62</f>
        <v>3.95</v>
      </c>
      <c r="L52" s="7">
        <f t="shared" si="16"/>
        <v>0</v>
      </c>
      <c r="M52" s="7">
        <f t="shared" si="16"/>
        <v>0</v>
      </c>
      <c r="N52" s="13">
        <f t="shared" si="22"/>
        <v>0</v>
      </c>
      <c r="O52" s="12">
        <f t="shared" si="23"/>
        <v>0</v>
      </c>
      <c r="Q52" s="798">
        <v>4</v>
      </c>
      <c r="R52" s="3"/>
      <c r="S52" s="3"/>
      <c r="T52" s="838">
        <f t="shared" si="28"/>
        <v>0</v>
      </c>
      <c r="U52" s="838">
        <f t="shared" si="24"/>
        <v>0</v>
      </c>
      <c r="V52" s="1001">
        <f t="shared" si="24"/>
        <v>0.44279069767441864</v>
      </c>
      <c r="W52" s="7">
        <f t="shared" si="17"/>
        <v>0</v>
      </c>
      <c r="X52" s="7">
        <f t="shared" si="18"/>
        <v>0</v>
      </c>
      <c r="Y52" s="6">
        <f>温度条件他根拠!$C$61</f>
        <v>3.55</v>
      </c>
      <c r="Z52" s="6">
        <f>温度条件他根拠!$C$62</f>
        <v>3.95</v>
      </c>
      <c r="AA52" s="7">
        <f t="shared" si="19"/>
        <v>0</v>
      </c>
      <c r="AB52" s="7">
        <f t="shared" si="19"/>
        <v>0</v>
      </c>
      <c r="AC52" s="13">
        <f t="shared" si="25"/>
        <v>0</v>
      </c>
      <c r="AD52" s="12">
        <f t="shared" si="26"/>
        <v>0</v>
      </c>
    </row>
    <row r="53" spans="2:30">
      <c r="B53" s="798">
        <v>5</v>
      </c>
      <c r="C53" s="3"/>
      <c r="D53" s="3"/>
      <c r="E53" s="838">
        <f t="shared" si="27"/>
        <v>0</v>
      </c>
      <c r="F53" s="839">
        <f>0.175*(温度条件他根拠!$D$7-温度条件他根拠!$D$9)/(温度条件他根拠!$D$7-23.2)</f>
        <v>7.3795180722891554E-2</v>
      </c>
      <c r="G53" s="839">
        <f>0.2*(温度条件他根拠!$D$10-13.4)/(温度条件他根拠!$D$10-温度条件他根拠!$D$8)</f>
        <v>6.1395348837209304E-2</v>
      </c>
      <c r="H53" s="836">
        <f>$C$56*E53*F53/1000</f>
        <v>0</v>
      </c>
      <c r="I53" s="836">
        <f>G53*E53*$D$49/1000</f>
        <v>0</v>
      </c>
      <c r="J53" s="6">
        <f>温度条件他根拠!$C$61</f>
        <v>3.55</v>
      </c>
      <c r="K53" s="6">
        <f>温度条件他根拠!$C$62</f>
        <v>3.95</v>
      </c>
      <c r="L53" s="7">
        <f t="shared" si="16"/>
        <v>0</v>
      </c>
      <c r="M53" s="7">
        <f t="shared" si="16"/>
        <v>0</v>
      </c>
      <c r="N53" s="13">
        <f t="shared" si="22"/>
        <v>0</v>
      </c>
      <c r="O53" s="12">
        <f t="shared" si="23"/>
        <v>0</v>
      </c>
      <c r="Q53" s="798">
        <v>5</v>
      </c>
      <c r="R53" s="3"/>
      <c r="S53" s="3"/>
      <c r="T53" s="838">
        <f t="shared" si="28"/>
        <v>0</v>
      </c>
      <c r="U53" s="1001">
        <f t="shared" si="24"/>
        <v>7.3795180722891554E-2</v>
      </c>
      <c r="V53" s="1001">
        <f t="shared" si="24"/>
        <v>6.1395348837209304E-2</v>
      </c>
      <c r="W53" s="836">
        <f t="shared" si="17"/>
        <v>0</v>
      </c>
      <c r="X53" s="836">
        <f t="shared" si="18"/>
        <v>0</v>
      </c>
      <c r="Y53" s="6">
        <f>温度条件他根拠!$C$61</f>
        <v>3.55</v>
      </c>
      <c r="Z53" s="6">
        <f>温度条件他根拠!$C$62</f>
        <v>3.95</v>
      </c>
      <c r="AA53" s="7">
        <f t="shared" si="19"/>
        <v>0</v>
      </c>
      <c r="AB53" s="7">
        <f t="shared" si="19"/>
        <v>0</v>
      </c>
      <c r="AC53" s="13">
        <f t="shared" si="25"/>
        <v>0</v>
      </c>
      <c r="AD53" s="12">
        <f t="shared" si="26"/>
        <v>0</v>
      </c>
    </row>
    <row r="54" spans="2:30">
      <c r="B54" s="798">
        <v>6</v>
      </c>
      <c r="C54" s="3"/>
      <c r="D54" s="3"/>
      <c r="E54" s="838">
        <f t="shared" si="27"/>
        <v>0</v>
      </c>
      <c r="F54" s="839">
        <f>0.7*(温度条件他根拠!$D$7-温度条件他根拠!$D$9)/(温度条件他根拠!$D$7-26)</f>
        <v>0.44545454545454538</v>
      </c>
      <c r="G54" s="838">
        <v>0</v>
      </c>
      <c r="H54" s="7">
        <f t="shared" si="20"/>
        <v>0</v>
      </c>
      <c r="I54" s="7">
        <f t="shared" si="21"/>
        <v>0</v>
      </c>
      <c r="J54" s="6">
        <f>温度条件他根拠!$C$61</f>
        <v>3.55</v>
      </c>
      <c r="K54" s="6">
        <f>温度条件他根拠!$C$62</f>
        <v>3.95</v>
      </c>
      <c r="L54" s="7">
        <f t="shared" si="16"/>
        <v>0</v>
      </c>
      <c r="M54" s="7">
        <f t="shared" si="16"/>
        <v>0</v>
      </c>
      <c r="N54" s="13">
        <f t="shared" si="22"/>
        <v>0</v>
      </c>
      <c r="O54" s="12">
        <f t="shared" si="23"/>
        <v>0</v>
      </c>
      <c r="Q54" s="798">
        <v>6</v>
      </c>
      <c r="R54" s="3"/>
      <c r="S54" s="3"/>
      <c r="T54" s="838">
        <f t="shared" si="28"/>
        <v>0</v>
      </c>
      <c r="U54" s="1001">
        <f t="shared" si="24"/>
        <v>0.44545454545454538</v>
      </c>
      <c r="V54" s="838">
        <f t="shared" si="24"/>
        <v>0</v>
      </c>
      <c r="W54" s="7">
        <f t="shared" si="17"/>
        <v>0</v>
      </c>
      <c r="X54" s="7">
        <f t="shared" si="18"/>
        <v>0</v>
      </c>
      <c r="Y54" s="6">
        <f>温度条件他根拠!$C$61</f>
        <v>3.55</v>
      </c>
      <c r="Z54" s="6">
        <f>温度条件他根拠!$C$62</f>
        <v>3.95</v>
      </c>
      <c r="AA54" s="7">
        <f t="shared" si="19"/>
        <v>0</v>
      </c>
      <c r="AB54" s="7">
        <f t="shared" si="19"/>
        <v>0</v>
      </c>
      <c r="AC54" s="13">
        <f t="shared" si="25"/>
        <v>0</v>
      </c>
      <c r="AD54" s="12">
        <f t="shared" si="26"/>
        <v>0</v>
      </c>
    </row>
    <row r="55" spans="2:30">
      <c r="B55" s="798">
        <v>7</v>
      </c>
      <c r="C55" s="3"/>
      <c r="D55" s="3"/>
      <c r="E55" s="838">
        <f t="shared" si="27"/>
        <v>0</v>
      </c>
      <c r="F55" s="839">
        <f>0.7*(温度条件他根拠!$D$7-温度条件他根拠!$D$9)/(温度条件他根拠!$D$7-28)</f>
        <v>0.7</v>
      </c>
      <c r="G55" s="838">
        <v>0</v>
      </c>
      <c r="H55" s="7">
        <f t="shared" si="20"/>
        <v>0</v>
      </c>
      <c r="I55" s="7">
        <f t="shared" si="21"/>
        <v>0</v>
      </c>
      <c r="J55" s="6">
        <f>温度条件他根拠!$C$61</f>
        <v>3.55</v>
      </c>
      <c r="K55" s="6">
        <f>温度条件他根拠!$C$62</f>
        <v>3.95</v>
      </c>
      <c r="L55" s="7">
        <f t="shared" si="16"/>
        <v>0</v>
      </c>
      <c r="M55" s="7">
        <f t="shared" si="16"/>
        <v>0</v>
      </c>
      <c r="N55" s="13">
        <f t="shared" si="22"/>
        <v>0</v>
      </c>
      <c r="O55" s="12">
        <f t="shared" si="23"/>
        <v>0</v>
      </c>
      <c r="Q55" s="798">
        <v>7</v>
      </c>
      <c r="R55" s="3"/>
      <c r="S55" s="3"/>
      <c r="T55" s="838">
        <f t="shared" si="28"/>
        <v>0</v>
      </c>
      <c r="U55" s="1001">
        <f t="shared" si="24"/>
        <v>0.7</v>
      </c>
      <c r="V55" s="838">
        <f t="shared" si="24"/>
        <v>0</v>
      </c>
      <c r="W55" s="7">
        <f t="shared" si="17"/>
        <v>0</v>
      </c>
      <c r="X55" s="7">
        <f t="shared" si="18"/>
        <v>0</v>
      </c>
      <c r="Y55" s="6">
        <f>温度条件他根拠!$C$61</f>
        <v>3.55</v>
      </c>
      <c r="Z55" s="6">
        <f>温度条件他根拠!$C$62</f>
        <v>3.95</v>
      </c>
      <c r="AA55" s="7">
        <f t="shared" si="19"/>
        <v>0</v>
      </c>
      <c r="AB55" s="7">
        <f t="shared" si="19"/>
        <v>0</v>
      </c>
      <c r="AC55" s="13">
        <f t="shared" si="25"/>
        <v>0</v>
      </c>
      <c r="AD55" s="12">
        <f t="shared" si="26"/>
        <v>0</v>
      </c>
    </row>
    <row r="56" spans="2:30">
      <c r="B56" s="798">
        <v>8</v>
      </c>
      <c r="C56" s="836">
        <f>L32</f>
        <v>0</v>
      </c>
      <c r="D56" s="3"/>
      <c r="E56" s="838">
        <f t="shared" si="27"/>
        <v>0</v>
      </c>
      <c r="F56" s="839">
        <f>0.7*(温度条件他根拠!$D$7-温度条件他根拠!$D$9)/(温度条件他根拠!$D$7-28)</f>
        <v>0.7</v>
      </c>
      <c r="G56" s="838">
        <v>0</v>
      </c>
      <c r="H56" s="7">
        <f>$C$56*E56*F56/1000</f>
        <v>0</v>
      </c>
      <c r="I56" s="7">
        <f t="shared" si="21"/>
        <v>0</v>
      </c>
      <c r="J56" s="6">
        <f>温度条件他根拠!$C$61</f>
        <v>3.55</v>
      </c>
      <c r="K56" s="6">
        <f>温度条件他根拠!$C$62</f>
        <v>3.95</v>
      </c>
      <c r="L56" s="7">
        <f t="shared" si="16"/>
        <v>0</v>
      </c>
      <c r="M56" s="7">
        <f t="shared" si="16"/>
        <v>0</v>
      </c>
      <c r="N56" s="13">
        <f t="shared" si="22"/>
        <v>0</v>
      </c>
      <c r="O56" s="12">
        <f t="shared" si="23"/>
        <v>0</v>
      </c>
      <c r="Q56" s="798">
        <v>8</v>
      </c>
      <c r="R56" s="836">
        <f>L14</f>
        <v>0</v>
      </c>
      <c r="S56" s="3"/>
      <c r="T56" s="838">
        <f t="shared" si="28"/>
        <v>0</v>
      </c>
      <c r="U56" s="1001">
        <f t="shared" si="24"/>
        <v>0.7</v>
      </c>
      <c r="V56" s="838">
        <f t="shared" si="24"/>
        <v>0</v>
      </c>
      <c r="W56" s="7">
        <f t="shared" si="17"/>
        <v>0</v>
      </c>
      <c r="X56" s="7">
        <f t="shared" si="18"/>
        <v>0</v>
      </c>
      <c r="Y56" s="6">
        <f>温度条件他根拠!$C$61</f>
        <v>3.55</v>
      </c>
      <c r="Z56" s="6">
        <f>温度条件他根拠!$C$62</f>
        <v>3.95</v>
      </c>
      <c r="AA56" s="7">
        <f t="shared" si="19"/>
        <v>0</v>
      </c>
      <c r="AB56" s="7">
        <f t="shared" si="19"/>
        <v>0</v>
      </c>
      <c r="AC56" s="13">
        <f t="shared" si="25"/>
        <v>0</v>
      </c>
      <c r="AD56" s="12">
        <f t="shared" si="26"/>
        <v>0</v>
      </c>
    </row>
    <row r="57" spans="2:30">
      <c r="B57" s="798">
        <v>9</v>
      </c>
      <c r="C57" s="3"/>
      <c r="D57" s="3"/>
      <c r="E57" s="838">
        <f t="shared" si="27"/>
        <v>0</v>
      </c>
      <c r="F57" s="839">
        <f>0.7*(温度条件他根拠!$D$7-温度条件他根拠!$D$9)/(温度条件他根拠!$D$7-27.1)</f>
        <v>0.55681818181818199</v>
      </c>
      <c r="G57" s="838">
        <v>0</v>
      </c>
      <c r="H57" s="7">
        <f t="shared" si="20"/>
        <v>0</v>
      </c>
      <c r="I57" s="7">
        <f t="shared" si="21"/>
        <v>0</v>
      </c>
      <c r="J57" s="6">
        <f>温度条件他根拠!$C$61</f>
        <v>3.55</v>
      </c>
      <c r="K57" s="6">
        <f>温度条件他根拠!$C$62</f>
        <v>3.95</v>
      </c>
      <c r="L57" s="7">
        <f t="shared" si="16"/>
        <v>0</v>
      </c>
      <c r="M57" s="7">
        <f t="shared" si="16"/>
        <v>0</v>
      </c>
      <c r="N57" s="13">
        <f t="shared" si="22"/>
        <v>0</v>
      </c>
      <c r="O57" s="12">
        <f t="shared" si="23"/>
        <v>0</v>
      </c>
      <c r="Q57" s="798">
        <v>9</v>
      </c>
      <c r="R57" s="3"/>
      <c r="S57" s="3"/>
      <c r="T57" s="838">
        <f t="shared" si="28"/>
        <v>0</v>
      </c>
      <c r="U57" s="1001">
        <f t="shared" si="24"/>
        <v>0.55681818181818199</v>
      </c>
      <c r="V57" s="838">
        <f t="shared" si="24"/>
        <v>0</v>
      </c>
      <c r="W57" s="7">
        <f t="shared" si="17"/>
        <v>0</v>
      </c>
      <c r="X57" s="7">
        <f t="shared" si="18"/>
        <v>0</v>
      </c>
      <c r="Y57" s="6">
        <f>温度条件他根拠!$C$61</f>
        <v>3.55</v>
      </c>
      <c r="Z57" s="6">
        <f>温度条件他根拠!$C$62</f>
        <v>3.95</v>
      </c>
      <c r="AA57" s="7">
        <f t="shared" si="19"/>
        <v>0</v>
      </c>
      <c r="AB57" s="7">
        <f t="shared" si="19"/>
        <v>0</v>
      </c>
      <c r="AC57" s="13">
        <f t="shared" si="25"/>
        <v>0</v>
      </c>
      <c r="AD57" s="12">
        <f t="shared" si="26"/>
        <v>0</v>
      </c>
    </row>
    <row r="58" spans="2:30">
      <c r="B58" s="798">
        <v>10</v>
      </c>
      <c r="C58" s="3"/>
      <c r="D58" s="3"/>
      <c r="E58" s="838">
        <f t="shared" si="27"/>
        <v>0</v>
      </c>
      <c r="F58" s="839">
        <f>0.175*(温度条件他根拠!$D$7-温度条件他根拠!$D$9)/(温度条件他根拠!$D$7-21.6)</f>
        <v>6.1868686868686872E-2</v>
      </c>
      <c r="G58" s="839">
        <f>0.2*(温度条件他根拠!$D$10-12.8)/(温度条件他根拠!$D$10-温度条件他根拠!$D$8)</f>
        <v>6.6976744186046502E-2</v>
      </c>
      <c r="H58" s="836">
        <f>$C$56*E58*F58/1000</f>
        <v>0</v>
      </c>
      <c r="I58" s="836">
        <f>G58*E58*$D$49/1000</f>
        <v>0</v>
      </c>
      <c r="J58" s="6">
        <f>温度条件他根拠!$C$61</f>
        <v>3.55</v>
      </c>
      <c r="K58" s="6">
        <f>温度条件他根拠!$C$62</f>
        <v>3.95</v>
      </c>
      <c r="L58" s="7">
        <f t="shared" si="16"/>
        <v>0</v>
      </c>
      <c r="M58" s="7">
        <f t="shared" si="16"/>
        <v>0</v>
      </c>
      <c r="N58" s="13">
        <f t="shared" si="22"/>
        <v>0</v>
      </c>
      <c r="O58" s="12">
        <f t="shared" si="23"/>
        <v>0</v>
      </c>
      <c r="Q58" s="798">
        <v>10</v>
      </c>
      <c r="R58" s="3"/>
      <c r="S58" s="3"/>
      <c r="T58" s="838">
        <f t="shared" si="28"/>
        <v>0</v>
      </c>
      <c r="U58" s="1001">
        <f t="shared" si="24"/>
        <v>6.1868686868686872E-2</v>
      </c>
      <c r="V58" s="1001">
        <f t="shared" si="24"/>
        <v>6.6976744186046502E-2</v>
      </c>
      <c r="W58" s="836">
        <f t="shared" si="17"/>
        <v>0</v>
      </c>
      <c r="X58" s="836">
        <f t="shared" si="18"/>
        <v>0</v>
      </c>
      <c r="Y58" s="6">
        <f>温度条件他根拠!$C$61</f>
        <v>3.55</v>
      </c>
      <c r="Z58" s="6">
        <f>温度条件他根拠!$C$62</f>
        <v>3.95</v>
      </c>
      <c r="AA58" s="7">
        <f t="shared" si="19"/>
        <v>0</v>
      </c>
      <c r="AB58" s="7">
        <f t="shared" si="19"/>
        <v>0</v>
      </c>
      <c r="AC58" s="13">
        <f t="shared" si="25"/>
        <v>0</v>
      </c>
      <c r="AD58" s="12">
        <f t="shared" si="26"/>
        <v>0</v>
      </c>
    </row>
    <row r="59" spans="2:30">
      <c r="B59" s="798">
        <v>11</v>
      </c>
      <c r="C59" s="3"/>
      <c r="D59" s="3"/>
      <c r="E59" s="838">
        <f t="shared" si="27"/>
        <v>0</v>
      </c>
      <c r="F59" s="838">
        <v>0</v>
      </c>
      <c r="G59" s="839">
        <f>0.8*(温度条件他根拠!$D$10-6.2)/(温度条件他根拠!$D$10-温度条件他根拠!$D$8)</f>
        <v>0.51348837209302334</v>
      </c>
      <c r="H59" s="7">
        <f t="shared" si="20"/>
        <v>0</v>
      </c>
      <c r="I59" s="7">
        <f t="shared" si="21"/>
        <v>0</v>
      </c>
      <c r="J59" s="6">
        <f>温度条件他根拠!$C$61</f>
        <v>3.55</v>
      </c>
      <c r="K59" s="6">
        <f>温度条件他根拠!$C$62</f>
        <v>3.95</v>
      </c>
      <c r="L59" s="7">
        <f t="shared" si="16"/>
        <v>0</v>
      </c>
      <c r="M59" s="7">
        <f t="shared" si="16"/>
        <v>0</v>
      </c>
      <c r="N59" s="13">
        <f t="shared" si="22"/>
        <v>0</v>
      </c>
      <c r="O59" s="12">
        <f t="shared" si="23"/>
        <v>0</v>
      </c>
      <c r="Q59" s="798">
        <v>11</v>
      </c>
      <c r="R59" s="3"/>
      <c r="S59" s="3"/>
      <c r="T59" s="838">
        <f t="shared" si="28"/>
        <v>0</v>
      </c>
      <c r="U59" s="838">
        <f t="shared" si="24"/>
        <v>0</v>
      </c>
      <c r="V59" s="1001">
        <f t="shared" si="24"/>
        <v>0.51348837209302334</v>
      </c>
      <c r="W59" s="7">
        <f t="shared" si="17"/>
        <v>0</v>
      </c>
      <c r="X59" s="7">
        <f t="shared" si="18"/>
        <v>0</v>
      </c>
      <c r="Y59" s="6">
        <f>温度条件他根拠!$C$61</f>
        <v>3.55</v>
      </c>
      <c r="Z59" s="6">
        <f>温度条件他根拠!$C$62</f>
        <v>3.95</v>
      </c>
      <c r="AA59" s="7">
        <f t="shared" si="19"/>
        <v>0</v>
      </c>
      <c r="AB59" s="7">
        <f t="shared" si="19"/>
        <v>0</v>
      </c>
      <c r="AC59" s="13">
        <f t="shared" si="25"/>
        <v>0</v>
      </c>
      <c r="AD59" s="12">
        <f t="shared" si="26"/>
        <v>0</v>
      </c>
    </row>
    <row r="60" spans="2:30">
      <c r="B60" s="798">
        <v>12</v>
      </c>
      <c r="C60" s="3"/>
      <c r="D60" s="3"/>
      <c r="E60" s="838">
        <f t="shared" si="27"/>
        <v>0</v>
      </c>
      <c r="F60" s="838">
        <v>0</v>
      </c>
      <c r="G60" s="839">
        <f>0.8*(温度条件他根拠!$D$10-0.8)/(温度条件他根拠!$D$10-温度条件他根拠!$D$8)</f>
        <v>0.7144186046511628</v>
      </c>
      <c r="H60" s="7">
        <f t="shared" si="20"/>
        <v>0</v>
      </c>
      <c r="I60" s="7">
        <f t="shared" si="21"/>
        <v>0</v>
      </c>
      <c r="J60" s="6">
        <f>温度条件他根拠!$C$61</f>
        <v>3.55</v>
      </c>
      <c r="K60" s="6">
        <f>温度条件他根拠!$C$62</f>
        <v>3.95</v>
      </c>
      <c r="L60" s="7">
        <f t="shared" si="16"/>
        <v>0</v>
      </c>
      <c r="M60" s="7">
        <f t="shared" si="16"/>
        <v>0</v>
      </c>
      <c r="N60" s="13">
        <f t="shared" si="22"/>
        <v>0</v>
      </c>
      <c r="O60" s="12">
        <f t="shared" si="23"/>
        <v>0</v>
      </c>
      <c r="Q60" s="798">
        <v>12</v>
      </c>
      <c r="R60" s="3"/>
      <c r="S60" s="3"/>
      <c r="T60" s="838">
        <f t="shared" si="28"/>
        <v>0</v>
      </c>
      <c r="U60" s="838">
        <f t="shared" si="24"/>
        <v>0</v>
      </c>
      <c r="V60" s="1001">
        <f t="shared" si="24"/>
        <v>0.7144186046511628</v>
      </c>
      <c r="W60" s="7">
        <f t="shared" si="17"/>
        <v>0</v>
      </c>
      <c r="X60" s="7">
        <f t="shared" si="18"/>
        <v>0</v>
      </c>
      <c r="Y60" s="6">
        <f>温度条件他根拠!$C$61</f>
        <v>3.55</v>
      </c>
      <c r="Z60" s="6">
        <f>温度条件他根拠!$C$62</f>
        <v>3.95</v>
      </c>
      <c r="AA60" s="7">
        <f t="shared" si="19"/>
        <v>0</v>
      </c>
      <c r="AB60" s="7">
        <f t="shared" si="19"/>
        <v>0</v>
      </c>
      <c r="AC60" s="13">
        <f t="shared" si="25"/>
        <v>0</v>
      </c>
      <c r="AD60" s="12">
        <f t="shared" si="26"/>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1079</v>
      </c>
    </row>
    <row r="86" spans="2:3">
      <c r="B86" s="691">
        <v>43927</v>
      </c>
      <c r="C86" s="690" t="s">
        <v>866</v>
      </c>
    </row>
    <row r="87" spans="2:3">
      <c r="B87" s="691">
        <v>44634</v>
      </c>
      <c r="C87" s="690" t="s">
        <v>1119</v>
      </c>
    </row>
    <row r="88" spans="2:3">
      <c r="C88" s="690" t="s">
        <v>1120</v>
      </c>
    </row>
    <row r="89" spans="2:3">
      <c r="C89" s="1" t="s">
        <v>1121</v>
      </c>
    </row>
    <row r="90" spans="2:3">
      <c r="C90" s="1" t="s">
        <v>1133</v>
      </c>
    </row>
    <row r="91" spans="2:3">
      <c r="C91" s="1" t="s">
        <v>1134</v>
      </c>
    </row>
  </sheetData>
  <mergeCells count="20">
    <mergeCell ref="B45:O45"/>
    <mergeCell ref="B15:B23"/>
    <mergeCell ref="B24:B33"/>
    <mergeCell ref="D33:F33"/>
    <mergeCell ref="J16:J22"/>
    <mergeCell ref="K16:K23"/>
    <mergeCell ref="L16:L23"/>
    <mergeCell ref="N16:N22"/>
    <mergeCell ref="O16:O23"/>
    <mergeCell ref="P16:P23"/>
    <mergeCell ref="B4:C5"/>
    <mergeCell ref="D4:F4"/>
    <mergeCell ref="G4:G5"/>
    <mergeCell ref="B6:B14"/>
    <mergeCell ref="J3:J5"/>
    <mergeCell ref="K3:K5"/>
    <mergeCell ref="L3:L5"/>
    <mergeCell ref="N3:N5"/>
    <mergeCell ref="O3:O5"/>
    <mergeCell ref="P3:P5"/>
  </mergeCells>
  <phoneticPr fontId="2"/>
  <pageMargins left="0" right="0" top="0.55118110236220474" bottom="0.15748031496062992" header="0.11811023622047245" footer="0"/>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FFFF00"/>
  </sheetPr>
  <dimension ref="B1:AD92"/>
  <sheetViews>
    <sheetView workbookViewId="0">
      <selection activeCell="H9" sqref="H9"/>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6">
      <c r="B1" s="156">
        <f>温度条件他根拠!D6</f>
        <v>1</v>
      </c>
      <c r="C1" s="157"/>
      <c r="D1" s="705" t="str">
        <f ca="1">RIGHT(CELL("filename",D1),LEN(CELL("filename",D1))-FIND("]",CELL("filename",D1)))</f>
        <v>さいたま市窓遮熱</v>
      </c>
      <c r="E1" s="81"/>
      <c r="F1" s="81"/>
      <c r="G1" s="81"/>
      <c r="H1" s="81"/>
      <c r="I1" s="81"/>
      <c r="J1" s="81"/>
      <c r="K1" s="81"/>
      <c r="L1" s="81"/>
      <c r="M1" s="81"/>
      <c r="N1" s="81"/>
      <c r="O1" s="81"/>
    </row>
    <row r="2" spans="2:16" ht="13.5" thickBot="1">
      <c r="B2" s="2080"/>
      <c r="C2" s="2080"/>
      <c r="D2" s="2080"/>
      <c r="E2" s="2080"/>
      <c r="F2" s="2080"/>
      <c r="G2" s="2080"/>
      <c r="H2" s="2080"/>
      <c r="I2" s="2080"/>
      <c r="J2" s="2080"/>
      <c r="K2" s="2080"/>
      <c r="L2" s="2080"/>
      <c r="M2" s="2080"/>
      <c r="N2" s="2080"/>
      <c r="O2" s="2080"/>
    </row>
    <row r="3" spans="2:16" ht="13.5" thickBot="1">
      <c r="B3" s="840" t="s">
        <v>1093</v>
      </c>
      <c r="C3" s="890"/>
      <c r="D3" s="841"/>
      <c r="E3" s="841"/>
      <c r="F3" s="841"/>
      <c r="G3" s="841"/>
      <c r="H3" s="1010"/>
      <c r="I3" s="1010"/>
      <c r="J3" s="2096" t="str">
        <f>J16</f>
        <v>D
時間帯合計値の最大値の方位別冷房負荷（計算採用値）</v>
      </c>
      <c r="K3" s="2099" t="str">
        <f>K16</f>
        <v>E
方位別日射時間
(h/日）</v>
      </c>
      <c r="L3" s="2102" t="str">
        <f>L16</f>
        <v>①
＝ΣD×E
方位別
日冷房
負荷
削減量
（W・h/日）</v>
      </c>
      <c r="M3" s="897"/>
      <c r="N3" s="2096" t="str">
        <f>N16</f>
        <v>F
時間帯合計値の最大値の方位別暖房負荷（計算採用値）</v>
      </c>
      <c r="O3" s="2099" t="str">
        <f>O16</f>
        <v>E
方位別日射時間
(h/日）</v>
      </c>
      <c r="P3" s="2102" t="str">
        <f>P16</f>
        <v>②
＝ΣF×E
方位別
日暖房
負荷
削減量
（W・h/日）</v>
      </c>
    </row>
    <row r="4" spans="2:16">
      <c r="B4" s="2088" t="s">
        <v>1094</v>
      </c>
      <c r="C4" s="2089"/>
      <c r="D4" s="2089" t="s">
        <v>1095</v>
      </c>
      <c r="E4" s="2089"/>
      <c r="F4" s="2089"/>
      <c r="G4" s="2092" t="s">
        <v>1122</v>
      </c>
      <c r="H4" s="894"/>
      <c r="I4" s="894"/>
      <c r="J4" s="2097"/>
      <c r="K4" s="2100"/>
      <c r="L4" s="2103"/>
      <c r="M4" s="896"/>
      <c r="N4" s="2097"/>
      <c r="O4" s="2100"/>
      <c r="P4" s="2103"/>
    </row>
    <row r="5" spans="2:16" ht="13.5" thickBot="1">
      <c r="B5" s="2090"/>
      <c r="C5" s="2091"/>
      <c r="D5" s="842" t="s">
        <v>1098</v>
      </c>
      <c r="E5" s="842" t="s">
        <v>1099</v>
      </c>
      <c r="F5" s="842" t="s">
        <v>1100</v>
      </c>
      <c r="G5" s="2093"/>
      <c r="H5" s="894"/>
      <c r="I5" s="894"/>
      <c r="J5" s="2098"/>
      <c r="K5" s="2101"/>
      <c r="L5" s="2104"/>
      <c r="M5" s="896"/>
      <c r="N5" s="2098"/>
      <c r="O5" s="2101"/>
      <c r="P5" s="2104"/>
    </row>
    <row r="6" spans="2:16">
      <c r="B6" s="2094" t="s">
        <v>1123</v>
      </c>
      <c r="C6" s="881" t="s">
        <v>1395</v>
      </c>
      <c r="D6" s="882">
        <f>結果!H54</f>
        <v>0</v>
      </c>
      <c r="E6" s="882">
        <f>結果!J54</f>
        <v>0</v>
      </c>
      <c r="F6" s="882">
        <f>結果!L54</f>
        <v>0</v>
      </c>
      <c r="G6" s="883">
        <f>結果!Q54</f>
        <v>0</v>
      </c>
      <c r="H6" s="894"/>
      <c r="I6" s="894"/>
      <c r="J6" s="857">
        <f>IF(D32&gt;=D33,D6,IF(E32&gt;=D33,E6,F6))</f>
        <v>0</v>
      </c>
      <c r="K6" s="858">
        <f>温度条件他根拠!C36</f>
        <v>0</v>
      </c>
      <c r="L6" s="859">
        <f>K6*J6</f>
        <v>0</v>
      </c>
      <c r="M6" s="896"/>
      <c r="N6" s="860">
        <v>0</v>
      </c>
      <c r="O6" s="858">
        <f>K6</f>
        <v>0</v>
      </c>
      <c r="P6" s="859">
        <f>O6*N6</f>
        <v>0</v>
      </c>
    </row>
    <row r="7" spans="2:16">
      <c r="B7" s="2077"/>
      <c r="C7" s="877" t="s">
        <v>1396</v>
      </c>
      <c r="D7" s="847">
        <f>結果!H55</f>
        <v>0</v>
      </c>
      <c r="E7" s="847">
        <f>結果!J55</f>
        <v>0</v>
      </c>
      <c r="F7" s="847">
        <f>結果!L55</f>
        <v>0</v>
      </c>
      <c r="G7" s="879">
        <f>結果!Q55</f>
        <v>0</v>
      </c>
      <c r="H7" s="894"/>
      <c r="I7" s="894"/>
      <c r="J7" s="862">
        <f>IF(D32&gt;=D33,D7,IF(E32&gt;=D33,E7,F7))</f>
        <v>0</v>
      </c>
      <c r="K7" s="863">
        <f>温度条件他根拠!D36</f>
        <v>2.5</v>
      </c>
      <c r="L7" s="864">
        <f t="shared" ref="L7:L13" si="0">K7*J7</f>
        <v>0</v>
      </c>
      <c r="M7" s="896"/>
      <c r="N7" s="865">
        <v>0</v>
      </c>
      <c r="O7" s="863">
        <f>K7</f>
        <v>2.5</v>
      </c>
      <c r="P7" s="864">
        <f t="shared" ref="P7:P13" si="1">O7*N7</f>
        <v>0</v>
      </c>
    </row>
    <row r="8" spans="2:16">
      <c r="B8" s="2077"/>
      <c r="C8" s="877" t="s">
        <v>1397</v>
      </c>
      <c r="D8" s="847">
        <f>結果!H56</f>
        <v>0</v>
      </c>
      <c r="E8" s="847">
        <f>結果!J56</f>
        <v>0</v>
      </c>
      <c r="F8" s="847">
        <f>結果!L56</f>
        <v>0</v>
      </c>
      <c r="G8" s="879">
        <f>結果!Q56</f>
        <v>0</v>
      </c>
      <c r="H8" s="894"/>
      <c r="I8" s="894"/>
      <c r="J8" s="862">
        <f>IF(D32&gt;=D33,D8,IF(E32&gt;=D33,E8,F8))</f>
        <v>0</v>
      </c>
      <c r="K8" s="863">
        <f>温度条件他根拠!E36</f>
        <v>3.5</v>
      </c>
      <c r="L8" s="864">
        <f t="shared" si="0"/>
        <v>0</v>
      </c>
      <c r="M8" s="896"/>
      <c r="N8" s="865">
        <v>0</v>
      </c>
      <c r="O8" s="863">
        <f t="shared" ref="O8:O13" si="2">K8</f>
        <v>3.5</v>
      </c>
      <c r="P8" s="864">
        <f t="shared" si="1"/>
        <v>0</v>
      </c>
    </row>
    <row r="9" spans="2:16">
      <c r="B9" s="2077"/>
      <c r="C9" s="877" t="s">
        <v>1398</v>
      </c>
      <c r="D9" s="847">
        <f>結果!H57</f>
        <v>0</v>
      </c>
      <c r="E9" s="847">
        <f>結果!J57</f>
        <v>0</v>
      </c>
      <c r="F9" s="847">
        <f>結果!L57</f>
        <v>0</v>
      </c>
      <c r="G9" s="879">
        <f>結果!Q57</f>
        <v>0</v>
      </c>
      <c r="H9" s="894"/>
      <c r="I9" s="894"/>
      <c r="J9" s="862">
        <f>IF(D32&gt;=D33,D9,IF(E32&gt;=D33,E9,F9))</f>
        <v>0</v>
      </c>
      <c r="K9" s="863">
        <f>温度条件他根拠!F36</f>
        <v>4.5</v>
      </c>
      <c r="L9" s="864">
        <f t="shared" si="0"/>
        <v>0</v>
      </c>
      <c r="M9" s="896"/>
      <c r="N9" s="865">
        <v>0</v>
      </c>
      <c r="O9" s="863">
        <f t="shared" si="2"/>
        <v>4.5</v>
      </c>
      <c r="P9" s="864">
        <f t="shared" si="1"/>
        <v>0</v>
      </c>
    </row>
    <row r="10" spans="2:16">
      <c r="B10" s="2077"/>
      <c r="C10" s="877" t="s">
        <v>1399</v>
      </c>
      <c r="D10" s="847">
        <f>結果!H58</f>
        <v>0</v>
      </c>
      <c r="E10" s="847">
        <f>結果!J58</f>
        <v>0</v>
      </c>
      <c r="F10" s="847">
        <f>結果!L58</f>
        <v>0</v>
      </c>
      <c r="G10" s="879">
        <f>結果!Q58</f>
        <v>0</v>
      </c>
      <c r="H10" s="894"/>
      <c r="I10" s="894"/>
      <c r="J10" s="862">
        <f>IF(D32&gt;=D33,D10,IF(E32&gt;=D33,E10,F10))</f>
        <v>0</v>
      </c>
      <c r="K10" s="866">
        <f>温度条件他根拠!G36</f>
        <v>5</v>
      </c>
      <c r="L10" s="864">
        <f t="shared" si="0"/>
        <v>0</v>
      </c>
      <c r="M10" s="896"/>
      <c r="N10" s="865">
        <v>0</v>
      </c>
      <c r="O10" s="866">
        <f t="shared" si="2"/>
        <v>5</v>
      </c>
      <c r="P10" s="864">
        <f t="shared" si="1"/>
        <v>0</v>
      </c>
    </row>
    <row r="11" spans="2:16">
      <c r="B11" s="2077"/>
      <c r="C11" s="877" t="s">
        <v>1400</v>
      </c>
      <c r="D11" s="847">
        <f>結果!H59</f>
        <v>0</v>
      </c>
      <c r="E11" s="847">
        <f>結果!J59</f>
        <v>0</v>
      </c>
      <c r="F11" s="847">
        <f>結果!L59</f>
        <v>0</v>
      </c>
      <c r="G11" s="879">
        <f>結果!Q59</f>
        <v>0</v>
      </c>
      <c r="H11" s="894"/>
      <c r="I11" s="894"/>
      <c r="J11" s="862">
        <f>IF(D32&gt;=D33,D11,IF(E32&gt;=D33,E11,F11))</f>
        <v>0</v>
      </c>
      <c r="K11" s="863">
        <f>温度条件他根拠!H36</f>
        <v>4.5</v>
      </c>
      <c r="L11" s="864">
        <f t="shared" si="0"/>
        <v>0</v>
      </c>
      <c r="M11" s="896"/>
      <c r="N11" s="865">
        <v>0</v>
      </c>
      <c r="O11" s="863">
        <f t="shared" si="2"/>
        <v>4.5</v>
      </c>
      <c r="P11" s="864">
        <f t="shared" si="1"/>
        <v>0</v>
      </c>
    </row>
    <row r="12" spans="2:16">
      <c r="B12" s="2077"/>
      <c r="C12" s="877" t="s">
        <v>1401</v>
      </c>
      <c r="D12" s="847">
        <f>結果!H60</f>
        <v>0</v>
      </c>
      <c r="E12" s="847">
        <f>結果!J60</f>
        <v>0</v>
      </c>
      <c r="F12" s="847">
        <f>結果!L60</f>
        <v>0</v>
      </c>
      <c r="G12" s="879">
        <f>結果!Q60</f>
        <v>0</v>
      </c>
      <c r="H12" s="894"/>
      <c r="I12" s="894"/>
      <c r="J12" s="862">
        <f>IF(D32&gt;=D33,D12,IF(E32&gt;=D33,E12,F12))</f>
        <v>0</v>
      </c>
      <c r="K12" s="863">
        <f>温度条件他根拠!I36</f>
        <v>3.5</v>
      </c>
      <c r="L12" s="864">
        <f t="shared" si="0"/>
        <v>0</v>
      </c>
      <c r="M12" s="896"/>
      <c r="N12" s="865">
        <v>0</v>
      </c>
      <c r="O12" s="863">
        <f t="shared" si="2"/>
        <v>3.5</v>
      </c>
      <c r="P12" s="864">
        <f t="shared" si="1"/>
        <v>0</v>
      </c>
    </row>
    <row r="13" spans="2:16" ht="13.5" thickBot="1">
      <c r="B13" s="2077"/>
      <c r="C13" s="878" t="s">
        <v>1402</v>
      </c>
      <c r="D13" s="847">
        <f>結果!H61</f>
        <v>0</v>
      </c>
      <c r="E13" s="847">
        <f>結果!J61</f>
        <v>0</v>
      </c>
      <c r="F13" s="847">
        <f>結果!L61</f>
        <v>0</v>
      </c>
      <c r="G13" s="879">
        <f>結果!Q61</f>
        <v>0</v>
      </c>
      <c r="H13" s="894"/>
      <c r="I13" s="894"/>
      <c r="J13" s="868">
        <f>IF(D32&gt;=D33,D13,IF(E32&gt;=D33,E13,F13))</f>
        <v>0</v>
      </c>
      <c r="K13" s="869">
        <f>温度条件他根拠!J36</f>
        <v>2.5</v>
      </c>
      <c r="L13" s="870">
        <f t="shared" si="0"/>
        <v>0</v>
      </c>
      <c r="M13" s="896"/>
      <c r="N13" s="865">
        <v>0</v>
      </c>
      <c r="O13" s="863">
        <f t="shared" si="2"/>
        <v>2.5</v>
      </c>
      <c r="P13" s="870">
        <f t="shared" si="1"/>
        <v>0</v>
      </c>
    </row>
    <row r="14" spans="2:16" ht="13.5" customHeight="1" thickBot="1">
      <c r="B14" s="2095"/>
      <c r="C14" s="884" t="s">
        <v>1124</v>
      </c>
      <c r="D14" s="885">
        <f>SUM(D6:D13)</f>
        <v>0</v>
      </c>
      <c r="E14" s="885">
        <f t="shared" ref="E14:G14" si="3">SUM(E6:E13)</f>
        <v>0</v>
      </c>
      <c r="F14" s="885">
        <f t="shared" si="3"/>
        <v>0</v>
      </c>
      <c r="G14" s="886">
        <f t="shared" si="3"/>
        <v>0</v>
      </c>
      <c r="H14" s="894"/>
      <c r="I14" s="894"/>
      <c r="J14" s="874">
        <f>SUM(J6:J13)</f>
        <v>0</v>
      </c>
      <c r="K14" s="875"/>
      <c r="L14" s="876">
        <f>SUM(L6:L13)</f>
        <v>0</v>
      </c>
      <c r="M14" s="896"/>
      <c r="N14" s="874">
        <f>SUM(N6:N13)</f>
        <v>0</v>
      </c>
      <c r="O14" s="875"/>
      <c r="P14" s="876">
        <f>SUM(P6:P13)</f>
        <v>0</v>
      </c>
    </row>
    <row r="15" spans="2:16" ht="13.5" thickBot="1">
      <c r="B15" s="2088" t="s">
        <v>1128</v>
      </c>
      <c r="C15" s="843" t="str">
        <f>C6</f>
        <v>北</v>
      </c>
      <c r="D15" s="844">
        <f>結果!H94</f>
        <v>0</v>
      </c>
      <c r="E15" s="844">
        <f>結果!J94</f>
        <v>0</v>
      </c>
      <c r="F15" s="844">
        <f>結果!L94</f>
        <v>0</v>
      </c>
      <c r="G15" s="845">
        <f>結果!Q94</f>
        <v>0</v>
      </c>
      <c r="H15" s="1010"/>
      <c r="I15" s="1010"/>
      <c r="J15" s="894"/>
      <c r="K15" s="894"/>
      <c r="L15" s="894"/>
      <c r="M15" s="896"/>
      <c r="N15" s="896"/>
      <c r="O15" s="896"/>
      <c r="P15" s="897"/>
    </row>
    <row r="16" spans="2:16" ht="13" customHeight="1">
      <c r="B16" s="2077"/>
      <c r="C16" s="846" t="str">
        <f t="shared" ref="C16:C32" si="4">C7</f>
        <v>北東</v>
      </c>
      <c r="D16" s="847">
        <f>結果!H95</f>
        <v>0</v>
      </c>
      <c r="E16" s="847">
        <f>結果!J95</f>
        <v>0</v>
      </c>
      <c r="F16" s="847">
        <f>結果!L95</f>
        <v>0</v>
      </c>
      <c r="G16" s="848">
        <f>結果!Q95</f>
        <v>0</v>
      </c>
      <c r="H16" s="1010"/>
      <c r="I16" s="1010"/>
      <c r="J16" s="2084" t="s">
        <v>1125</v>
      </c>
      <c r="K16" s="2084" t="s">
        <v>1389</v>
      </c>
      <c r="L16" s="2084" t="s">
        <v>1126</v>
      </c>
      <c r="M16" s="896"/>
      <c r="N16" s="2084" t="s">
        <v>1127</v>
      </c>
      <c r="O16" s="2084" t="s">
        <v>1389</v>
      </c>
      <c r="P16" s="2084" t="s">
        <v>1390</v>
      </c>
    </row>
    <row r="17" spans="2:16">
      <c r="B17" s="2077"/>
      <c r="C17" s="846" t="str">
        <f t="shared" si="4"/>
        <v>東</v>
      </c>
      <c r="D17" s="847">
        <f>結果!H96</f>
        <v>0</v>
      </c>
      <c r="E17" s="847">
        <f>結果!J96</f>
        <v>0</v>
      </c>
      <c r="F17" s="847">
        <f>結果!L96</f>
        <v>0</v>
      </c>
      <c r="G17" s="848">
        <f>結果!Q96</f>
        <v>0</v>
      </c>
      <c r="H17" s="1010"/>
      <c r="I17" s="1010"/>
      <c r="J17" s="2085"/>
      <c r="K17" s="2085"/>
      <c r="L17" s="2085"/>
      <c r="M17" s="896"/>
      <c r="N17" s="2085"/>
      <c r="O17" s="2085"/>
      <c r="P17" s="2085"/>
    </row>
    <row r="18" spans="2:16">
      <c r="B18" s="2077"/>
      <c r="C18" s="846" t="str">
        <f t="shared" si="4"/>
        <v>南東</v>
      </c>
      <c r="D18" s="847">
        <f>結果!H97</f>
        <v>0</v>
      </c>
      <c r="E18" s="847">
        <f>結果!J97</f>
        <v>0</v>
      </c>
      <c r="F18" s="847">
        <f>結果!L97</f>
        <v>0</v>
      </c>
      <c r="G18" s="848">
        <f>結果!Q97</f>
        <v>0</v>
      </c>
      <c r="H18" s="1010"/>
      <c r="I18" s="1010"/>
      <c r="J18" s="2085"/>
      <c r="K18" s="2085"/>
      <c r="L18" s="2085"/>
      <c r="M18" s="896"/>
      <c r="N18" s="2085"/>
      <c r="O18" s="2085"/>
      <c r="P18" s="2085"/>
    </row>
    <row r="19" spans="2:16">
      <c r="B19" s="2077"/>
      <c r="C19" s="846" t="str">
        <f t="shared" si="4"/>
        <v>南</v>
      </c>
      <c r="D19" s="847">
        <f>結果!H98</f>
        <v>0</v>
      </c>
      <c r="E19" s="847">
        <f>結果!J98</f>
        <v>0</v>
      </c>
      <c r="F19" s="847">
        <f>結果!L98</f>
        <v>0</v>
      </c>
      <c r="G19" s="848">
        <f>結果!Q98</f>
        <v>0</v>
      </c>
      <c r="H19" s="1010"/>
      <c r="I19" s="1010"/>
      <c r="J19" s="2085"/>
      <c r="K19" s="2085"/>
      <c r="L19" s="2085"/>
      <c r="M19" s="896"/>
      <c r="N19" s="2085"/>
      <c r="O19" s="2085"/>
      <c r="P19" s="2085"/>
    </row>
    <row r="20" spans="2:16">
      <c r="B20" s="2077"/>
      <c r="C20" s="846" t="str">
        <f t="shared" si="4"/>
        <v>南西</v>
      </c>
      <c r="D20" s="847">
        <f>結果!H99</f>
        <v>0</v>
      </c>
      <c r="E20" s="847">
        <f>結果!J99</f>
        <v>0</v>
      </c>
      <c r="F20" s="847">
        <f>結果!L99</f>
        <v>0</v>
      </c>
      <c r="G20" s="848">
        <f>結果!Q99</f>
        <v>0</v>
      </c>
      <c r="H20" s="1010"/>
      <c r="I20" s="1010"/>
      <c r="J20" s="2085"/>
      <c r="K20" s="2085"/>
      <c r="L20" s="2085"/>
      <c r="M20" s="896"/>
      <c r="N20" s="2085"/>
      <c r="O20" s="2085"/>
      <c r="P20" s="2085"/>
    </row>
    <row r="21" spans="2:16">
      <c r="B21" s="2077"/>
      <c r="C21" s="846" t="str">
        <f t="shared" si="4"/>
        <v>西</v>
      </c>
      <c r="D21" s="847">
        <f>結果!H100</f>
        <v>0</v>
      </c>
      <c r="E21" s="847">
        <f>結果!J100</f>
        <v>0</v>
      </c>
      <c r="F21" s="847">
        <f>結果!L100</f>
        <v>0</v>
      </c>
      <c r="G21" s="848">
        <f>結果!Q100</f>
        <v>0</v>
      </c>
      <c r="H21" s="1010"/>
      <c r="I21" s="1010"/>
      <c r="J21" s="2085"/>
      <c r="K21" s="2085"/>
      <c r="L21" s="2085"/>
      <c r="M21" s="896"/>
      <c r="N21" s="2085"/>
      <c r="O21" s="2085"/>
      <c r="P21" s="2085"/>
    </row>
    <row r="22" spans="2:16" ht="13.5" thickBot="1">
      <c r="B22" s="2077"/>
      <c r="C22" s="849" t="str">
        <f t="shared" si="4"/>
        <v>北西</v>
      </c>
      <c r="D22" s="847">
        <f>結果!H101</f>
        <v>0</v>
      </c>
      <c r="E22" s="847">
        <f>結果!J101</f>
        <v>0</v>
      </c>
      <c r="F22" s="847">
        <f>結果!L101</f>
        <v>0</v>
      </c>
      <c r="G22" s="848">
        <f>結果!Q101</f>
        <v>0</v>
      </c>
      <c r="H22" s="1010"/>
      <c r="I22" s="1010"/>
      <c r="J22" s="2086"/>
      <c r="K22" s="2085"/>
      <c r="L22" s="2085"/>
      <c r="M22" s="896"/>
      <c r="N22" s="2085"/>
      <c r="O22" s="2085"/>
      <c r="P22" s="2085"/>
    </row>
    <row r="23" spans="2:16" ht="13.5" thickBot="1">
      <c r="B23" s="2079"/>
      <c r="C23" s="852" t="str">
        <f t="shared" si="4"/>
        <v>合計</v>
      </c>
      <c r="D23" s="853">
        <f>SUM(D15:D22)</f>
        <v>0</v>
      </c>
      <c r="E23" s="853">
        <f t="shared" ref="E23:G23" si="5">SUM(E15:E22)</f>
        <v>0</v>
      </c>
      <c r="F23" s="853">
        <f t="shared" si="5"/>
        <v>0</v>
      </c>
      <c r="G23" s="854">
        <f t="shared" si="5"/>
        <v>0</v>
      </c>
      <c r="H23" s="1010"/>
      <c r="I23" s="1010"/>
      <c r="J23" s="855" t="str">
        <f>IF(D32&gt;=D33,"９時",IF(E32&gt;=D33,"１２時","１５時"))</f>
        <v>９時</v>
      </c>
      <c r="K23" s="2087"/>
      <c r="L23" s="2087"/>
      <c r="M23" s="896"/>
      <c r="N23" s="999"/>
      <c r="O23" s="2087"/>
      <c r="P23" s="2087"/>
    </row>
    <row r="24" spans="2:16">
      <c r="B24" s="2076" t="s">
        <v>1129</v>
      </c>
      <c r="C24" s="856" t="str">
        <f>C15</f>
        <v>北</v>
      </c>
      <c r="D24" s="844">
        <f>D6-D15</f>
        <v>0</v>
      </c>
      <c r="E24" s="844">
        <f t="shared" ref="E24:G24" si="6">E6-E15</f>
        <v>0</v>
      </c>
      <c r="F24" s="844">
        <f t="shared" si="6"/>
        <v>0</v>
      </c>
      <c r="G24" s="845">
        <f t="shared" si="6"/>
        <v>0</v>
      </c>
      <c r="H24" s="1010"/>
      <c r="I24" s="1010"/>
      <c r="J24" s="857">
        <f>IF(D32&gt;=D33,D24,IF(E32&gt;=D33,E24,F24))</f>
        <v>0</v>
      </c>
      <c r="K24" s="858">
        <f>温度条件他根拠!C36</f>
        <v>0</v>
      </c>
      <c r="L24" s="859">
        <f>K24*J24</f>
        <v>0</v>
      </c>
      <c r="M24" s="896"/>
      <c r="N24" s="860">
        <f>G24</f>
        <v>0</v>
      </c>
      <c r="O24" s="858">
        <f>K24</f>
        <v>0</v>
      </c>
      <c r="P24" s="859">
        <f>O24*N24</f>
        <v>0</v>
      </c>
    </row>
    <row r="25" spans="2:16">
      <c r="B25" s="2077"/>
      <c r="C25" s="861" t="str">
        <f t="shared" si="4"/>
        <v>北東</v>
      </c>
      <c r="D25" s="847">
        <f t="shared" ref="D25:G31" si="7">D7-D16</f>
        <v>0</v>
      </c>
      <c r="E25" s="847">
        <f t="shared" si="7"/>
        <v>0</v>
      </c>
      <c r="F25" s="847">
        <f t="shared" si="7"/>
        <v>0</v>
      </c>
      <c r="G25" s="848">
        <f t="shared" si="7"/>
        <v>0</v>
      </c>
      <c r="H25" s="1010"/>
      <c r="I25" s="1010"/>
      <c r="J25" s="862">
        <f>IF(D32&gt;=D33,D25,IF(E32&gt;=D33,E25,F25))</f>
        <v>0</v>
      </c>
      <c r="K25" s="863">
        <f>温度条件他根拠!D36</f>
        <v>2.5</v>
      </c>
      <c r="L25" s="864">
        <f t="shared" ref="L25:L31" si="8">K25*J25</f>
        <v>0</v>
      </c>
      <c r="M25" s="896"/>
      <c r="N25" s="865">
        <f>G25</f>
        <v>0</v>
      </c>
      <c r="O25" s="863">
        <f>K25</f>
        <v>2.5</v>
      </c>
      <c r="P25" s="864">
        <f t="shared" ref="P25:P31" si="9">O25*N25</f>
        <v>0</v>
      </c>
    </row>
    <row r="26" spans="2:16">
      <c r="B26" s="2077"/>
      <c r="C26" s="861" t="str">
        <f t="shared" si="4"/>
        <v>東</v>
      </c>
      <c r="D26" s="847">
        <f t="shared" si="7"/>
        <v>0</v>
      </c>
      <c r="E26" s="847">
        <f t="shared" si="7"/>
        <v>0</v>
      </c>
      <c r="F26" s="847">
        <f t="shared" si="7"/>
        <v>0</v>
      </c>
      <c r="G26" s="848">
        <f t="shared" si="7"/>
        <v>0</v>
      </c>
      <c r="H26" s="1010"/>
      <c r="I26" s="1010"/>
      <c r="J26" s="862">
        <f>IF(D32&gt;=D33,D26,IF(E32&gt;=D33,E26,F26))</f>
        <v>0</v>
      </c>
      <c r="K26" s="863">
        <f>温度条件他根拠!E36</f>
        <v>3.5</v>
      </c>
      <c r="L26" s="864">
        <f t="shared" si="8"/>
        <v>0</v>
      </c>
      <c r="M26" s="896"/>
      <c r="N26" s="865">
        <f t="shared" ref="N26:N31" si="10">G26</f>
        <v>0</v>
      </c>
      <c r="O26" s="863">
        <f t="shared" ref="O26:O31" si="11">K26</f>
        <v>3.5</v>
      </c>
      <c r="P26" s="864">
        <f t="shared" si="9"/>
        <v>0</v>
      </c>
    </row>
    <row r="27" spans="2:16">
      <c r="B27" s="2077"/>
      <c r="C27" s="861" t="str">
        <f t="shared" si="4"/>
        <v>南東</v>
      </c>
      <c r="D27" s="847">
        <f t="shared" si="7"/>
        <v>0</v>
      </c>
      <c r="E27" s="847">
        <f t="shared" si="7"/>
        <v>0</v>
      </c>
      <c r="F27" s="847">
        <f t="shared" si="7"/>
        <v>0</v>
      </c>
      <c r="G27" s="848">
        <f t="shared" si="7"/>
        <v>0</v>
      </c>
      <c r="H27" s="1010"/>
      <c r="I27" s="1010"/>
      <c r="J27" s="862">
        <f>IF(D32&gt;=D33,D27,IF(E32&gt;=D33,E27,F27))</f>
        <v>0</v>
      </c>
      <c r="K27" s="863">
        <f>温度条件他根拠!F36</f>
        <v>4.5</v>
      </c>
      <c r="L27" s="864">
        <f t="shared" si="8"/>
        <v>0</v>
      </c>
      <c r="M27" s="896"/>
      <c r="N27" s="865">
        <f t="shared" si="10"/>
        <v>0</v>
      </c>
      <c r="O27" s="863">
        <f t="shared" si="11"/>
        <v>4.5</v>
      </c>
      <c r="P27" s="864">
        <f t="shared" si="9"/>
        <v>0</v>
      </c>
    </row>
    <row r="28" spans="2:16">
      <c r="B28" s="2077"/>
      <c r="C28" s="861" t="str">
        <f t="shared" si="4"/>
        <v>南</v>
      </c>
      <c r="D28" s="847">
        <f t="shared" si="7"/>
        <v>0</v>
      </c>
      <c r="E28" s="847">
        <f t="shared" si="7"/>
        <v>0</v>
      </c>
      <c r="F28" s="847">
        <f t="shared" si="7"/>
        <v>0</v>
      </c>
      <c r="G28" s="848">
        <f t="shared" si="7"/>
        <v>0</v>
      </c>
      <c r="H28" s="1010"/>
      <c r="I28" s="1010"/>
      <c r="J28" s="862">
        <f>IF(D32&gt;=D33,D28,IF(E32&gt;=D33,E28,F28))</f>
        <v>0</v>
      </c>
      <c r="K28" s="866">
        <f>温度条件他根拠!G36</f>
        <v>5</v>
      </c>
      <c r="L28" s="864">
        <f t="shared" si="8"/>
        <v>0</v>
      </c>
      <c r="M28" s="896"/>
      <c r="N28" s="865">
        <f t="shared" si="10"/>
        <v>0</v>
      </c>
      <c r="O28" s="866">
        <f t="shared" si="11"/>
        <v>5</v>
      </c>
      <c r="P28" s="864">
        <f t="shared" si="9"/>
        <v>0</v>
      </c>
    </row>
    <row r="29" spans="2:16">
      <c r="B29" s="2077"/>
      <c r="C29" s="861" t="str">
        <f t="shared" si="4"/>
        <v>南西</v>
      </c>
      <c r="D29" s="847">
        <f t="shared" si="7"/>
        <v>0</v>
      </c>
      <c r="E29" s="847">
        <f t="shared" si="7"/>
        <v>0</v>
      </c>
      <c r="F29" s="847">
        <f t="shared" si="7"/>
        <v>0</v>
      </c>
      <c r="G29" s="848">
        <f t="shared" si="7"/>
        <v>0</v>
      </c>
      <c r="H29" s="1010"/>
      <c r="I29" s="1010"/>
      <c r="J29" s="862">
        <f>IF(D32&gt;=D33,D29,IF(E32&gt;=D33,E29,F29))</f>
        <v>0</v>
      </c>
      <c r="K29" s="863">
        <f>温度条件他根拠!H36</f>
        <v>4.5</v>
      </c>
      <c r="L29" s="864">
        <f t="shared" si="8"/>
        <v>0</v>
      </c>
      <c r="M29" s="896"/>
      <c r="N29" s="865">
        <f t="shared" si="10"/>
        <v>0</v>
      </c>
      <c r="O29" s="863">
        <f t="shared" si="11"/>
        <v>4.5</v>
      </c>
      <c r="P29" s="864">
        <f t="shared" si="9"/>
        <v>0</v>
      </c>
    </row>
    <row r="30" spans="2:16">
      <c r="B30" s="2077"/>
      <c r="C30" s="861" t="str">
        <f t="shared" si="4"/>
        <v>西</v>
      </c>
      <c r="D30" s="847">
        <f t="shared" si="7"/>
        <v>0</v>
      </c>
      <c r="E30" s="847">
        <f t="shared" si="7"/>
        <v>0</v>
      </c>
      <c r="F30" s="847">
        <f t="shared" si="7"/>
        <v>0</v>
      </c>
      <c r="G30" s="848">
        <f t="shared" si="7"/>
        <v>0</v>
      </c>
      <c r="H30" s="1010"/>
      <c r="I30" s="1010"/>
      <c r="J30" s="862">
        <f>IF(D32&gt;=D33,D30,IF(E32&gt;=D33,E30,F30))</f>
        <v>0</v>
      </c>
      <c r="K30" s="863">
        <f>温度条件他根拠!I36</f>
        <v>3.5</v>
      </c>
      <c r="L30" s="864">
        <f t="shared" si="8"/>
        <v>0</v>
      </c>
      <c r="M30" s="896"/>
      <c r="N30" s="865">
        <f t="shared" si="10"/>
        <v>0</v>
      </c>
      <c r="O30" s="863">
        <f t="shared" si="11"/>
        <v>3.5</v>
      </c>
      <c r="P30" s="864">
        <f t="shared" si="9"/>
        <v>0</v>
      </c>
    </row>
    <row r="31" spans="2:16" ht="13.5" thickBot="1">
      <c r="B31" s="2077"/>
      <c r="C31" s="867" t="str">
        <f t="shared" si="4"/>
        <v>北西</v>
      </c>
      <c r="D31" s="850">
        <f t="shared" si="7"/>
        <v>0</v>
      </c>
      <c r="E31" s="850">
        <f t="shared" si="7"/>
        <v>0</v>
      </c>
      <c r="F31" s="850">
        <f t="shared" si="7"/>
        <v>0</v>
      </c>
      <c r="G31" s="851">
        <f t="shared" si="7"/>
        <v>0</v>
      </c>
      <c r="H31" s="1010"/>
      <c r="I31" s="1010"/>
      <c r="J31" s="868">
        <f>IF(D32&gt;=D33,D31,IF(E32&gt;=D33,E31,F31))</f>
        <v>0</v>
      </c>
      <c r="K31" s="869">
        <f>温度条件他根拠!J36</f>
        <v>2.5</v>
      </c>
      <c r="L31" s="870">
        <f t="shared" si="8"/>
        <v>0</v>
      </c>
      <c r="M31" s="896"/>
      <c r="N31" s="865">
        <f t="shared" si="10"/>
        <v>0</v>
      </c>
      <c r="O31" s="863">
        <f t="shared" si="11"/>
        <v>2.5</v>
      </c>
      <c r="P31" s="870">
        <f t="shared" si="9"/>
        <v>0</v>
      </c>
    </row>
    <row r="32" spans="2:16" ht="13.5" thickBot="1">
      <c r="B32" s="2078"/>
      <c r="C32" s="871" t="str">
        <f t="shared" si="4"/>
        <v>合計</v>
      </c>
      <c r="D32" s="872">
        <f>SUM(D24:D31)</f>
        <v>0</v>
      </c>
      <c r="E32" s="872">
        <f t="shared" ref="E32:G32" si="12">SUM(E24:E31)</f>
        <v>0</v>
      </c>
      <c r="F32" s="872">
        <f t="shared" si="12"/>
        <v>0</v>
      </c>
      <c r="G32" s="873">
        <f t="shared" si="12"/>
        <v>0</v>
      </c>
      <c r="H32" s="1010"/>
      <c r="I32" s="1010"/>
      <c r="J32" s="874">
        <f>SUM(J24:J31)</f>
        <v>0</v>
      </c>
      <c r="K32" s="875"/>
      <c r="L32" s="876">
        <f>SUM(L24:L31)</f>
        <v>0</v>
      </c>
      <c r="M32" s="896"/>
      <c r="N32" s="874">
        <f>SUM(N24:N31)</f>
        <v>0</v>
      </c>
      <c r="O32" s="875"/>
      <c r="P32" s="876">
        <f>SUM(P24:P31)</f>
        <v>0</v>
      </c>
    </row>
    <row r="33" spans="2:30" ht="13.5" thickBot="1">
      <c r="B33" s="2079"/>
      <c r="C33" s="871" t="s">
        <v>1130</v>
      </c>
      <c r="D33" s="2081">
        <f>MAX(D32:F32)</f>
        <v>0</v>
      </c>
      <c r="E33" s="2082"/>
      <c r="F33" s="2083"/>
      <c r="G33" s="873">
        <f>G32</f>
        <v>0</v>
      </c>
      <c r="H33" s="894"/>
      <c r="I33" s="894"/>
      <c r="J33" s="894"/>
      <c r="K33" s="894"/>
      <c r="L33" s="894"/>
      <c r="M33" s="896"/>
      <c r="N33" s="896"/>
      <c r="O33" s="896"/>
      <c r="P33" s="897"/>
    </row>
    <row r="34" spans="2:30">
      <c r="B34" s="892"/>
      <c r="C34" s="892"/>
      <c r="D34" s="892"/>
      <c r="E34" s="892"/>
      <c r="F34" s="892"/>
      <c r="G34" s="892"/>
      <c r="H34" s="892"/>
      <c r="I34" s="892"/>
      <c r="J34" s="892"/>
      <c r="K34" s="892"/>
      <c r="L34" s="892"/>
      <c r="M34" s="892"/>
      <c r="N34" s="892"/>
      <c r="O34" s="892"/>
    </row>
    <row r="35" spans="2:30">
      <c r="B35" s="892"/>
      <c r="C35" s="892"/>
      <c r="D35" s="892"/>
      <c r="E35" s="892"/>
      <c r="F35" s="892"/>
      <c r="G35" s="892"/>
      <c r="H35" s="892"/>
      <c r="I35" s="892"/>
      <c r="J35" s="892"/>
      <c r="K35" s="892"/>
      <c r="L35" s="892"/>
      <c r="M35" s="892"/>
      <c r="N35" s="892"/>
      <c r="O35" s="892"/>
    </row>
    <row r="36" spans="2:30">
      <c r="B36" s="892"/>
      <c r="C36" s="892"/>
      <c r="D36" s="892"/>
      <c r="E36" s="892"/>
      <c r="F36" s="892"/>
      <c r="G36" s="892"/>
      <c r="H36" s="892"/>
      <c r="I36" s="892"/>
      <c r="J36" s="892"/>
      <c r="K36" s="892"/>
      <c r="L36" s="892"/>
      <c r="M36" s="892"/>
      <c r="N36" s="892"/>
      <c r="O36" s="892"/>
    </row>
    <row r="37" spans="2:30">
      <c r="B37" s="892"/>
      <c r="C37" s="892"/>
      <c r="D37" s="892"/>
      <c r="E37" s="892"/>
      <c r="F37" s="892"/>
      <c r="G37" s="892"/>
      <c r="H37" s="892"/>
      <c r="I37" s="892"/>
      <c r="J37" s="892"/>
      <c r="K37" s="892"/>
      <c r="L37" s="892"/>
      <c r="M37" s="892"/>
      <c r="N37" s="892"/>
      <c r="O37" s="892"/>
    </row>
    <row r="38" spans="2:30">
      <c r="B38" s="892"/>
      <c r="C38" s="892"/>
      <c r="D38" s="892"/>
      <c r="E38" s="892"/>
      <c r="F38" s="892"/>
      <c r="G38" s="892"/>
      <c r="H38" s="892"/>
      <c r="I38" s="892"/>
      <c r="J38" s="892"/>
      <c r="K38" s="892"/>
      <c r="L38" s="892"/>
      <c r="M38" s="892"/>
      <c r="N38" s="892"/>
      <c r="O38" s="892"/>
    </row>
    <row r="39" spans="2:30">
      <c r="B39" s="892"/>
      <c r="C39" s="892"/>
      <c r="D39" s="892"/>
      <c r="E39" s="892"/>
      <c r="F39" s="892"/>
      <c r="G39" s="892"/>
      <c r="H39" s="892"/>
      <c r="I39" s="892"/>
      <c r="J39" s="892"/>
      <c r="K39" s="892"/>
      <c r="L39" s="892"/>
      <c r="M39" s="892"/>
      <c r="N39" s="892"/>
      <c r="O39" s="892"/>
    </row>
    <row r="40" spans="2:30">
      <c r="B40" s="892"/>
      <c r="C40" s="892"/>
      <c r="D40" s="892"/>
      <c r="E40" s="892"/>
      <c r="F40" s="892"/>
      <c r="G40" s="892"/>
      <c r="H40" s="892"/>
      <c r="I40" s="892"/>
      <c r="J40" s="892"/>
      <c r="K40" s="892"/>
      <c r="L40" s="892"/>
      <c r="M40" s="892"/>
      <c r="N40" s="892"/>
      <c r="O40" s="892"/>
    </row>
    <row r="41" spans="2:30">
      <c r="B41" s="892"/>
      <c r="C41" s="892"/>
      <c r="D41" s="892"/>
      <c r="E41" s="892"/>
      <c r="F41" s="892"/>
      <c r="G41" s="892"/>
      <c r="H41" s="892"/>
      <c r="I41" s="892"/>
      <c r="J41" s="892"/>
      <c r="K41" s="892"/>
      <c r="L41" s="892"/>
      <c r="M41" s="892"/>
      <c r="N41" s="892"/>
      <c r="O41" s="892"/>
    </row>
    <row r="42" spans="2:30">
      <c r="B42" s="892"/>
      <c r="C42" s="892"/>
      <c r="D42" s="892"/>
      <c r="E42" s="892"/>
      <c r="F42" s="892"/>
      <c r="G42" s="892"/>
      <c r="H42" s="892"/>
      <c r="I42" s="892"/>
      <c r="J42" s="892"/>
      <c r="K42" s="892"/>
      <c r="L42" s="892"/>
      <c r="M42" s="892"/>
      <c r="N42" s="892"/>
      <c r="O42" s="892"/>
    </row>
    <row r="43" spans="2:30">
      <c r="B43" s="892"/>
      <c r="C43" s="892"/>
      <c r="D43" s="892"/>
      <c r="E43" s="892"/>
      <c r="F43" s="892"/>
      <c r="G43" s="892"/>
      <c r="H43" s="892"/>
      <c r="I43" s="892"/>
      <c r="J43" s="892"/>
      <c r="K43" s="892"/>
      <c r="L43" s="892"/>
      <c r="M43" s="892"/>
      <c r="N43" s="892"/>
      <c r="O43" s="892"/>
    </row>
    <row r="44" spans="2:30">
      <c r="B44" s="892"/>
      <c r="C44" s="892"/>
      <c r="D44" s="892"/>
      <c r="E44" s="892"/>
      <c r="F44" s="892"/>
      <c r="G44" s="892"/>
      <c r="H44" s="892"/>
      <c r="I44" s="892"/>
      <c r="J44" s="892"/>
      <c r="K44" s="892"/>
      <c r="L44" s="892"/>
      <c r="M44" s="892"/>
      <c r="N44" s="892"/>
      <c r="O44" s="892"/>
    </row>
    <row r="45" spans="2:30">
      <c r="B45" s="2080" t="s">
        <v>183</v>
      </c>
      <c r="C45" s="2080"/>
      <c r="D45" s="2080"/>
      <c r="E45" s="2080"/>
      <c r="F45" s="2080"/>
      <c r="G45" s="2080"/>
      <c r="H45" s="2080"/>
      <c r="I45" s="2080"/>
      <c r="J45" s="2080"/>
      <c r="K45" s="2080"/>
      <c r="L45" s="2080"/>
      <c r="M45" s="2080"/>
      <c r="N45" s="2080"/>
      <c r="O45" s="2080"/>
      <c r="Q45" s="1" t="s">
        <v>563</v>
      </c>
    </row>
    <row r="46" spans="2:30" ht="36">
      <c r="B46" s="686" t="s">
        <v>0</v>
      </c>
      <c r="C46" s="814" t="s">
        <v>1117</v>
      </c>
      <c r="D46" s="814" t="s">
        <v>1118</v>
      </c>
      <c r="E46" s="814" t="s">
        <v>1116</v>
      </c>
      <c r="F46" s="20" t="s">
        <v>42</v>
      </c>
      <c r="G46" s="20" t="s">
        <v>43</v>
      </c>
      <c r="H46" s="18" t="s">
        <v>35</v>
      </c>
      <c r="I46" s="20" t="s">
        <v>36</v>
      </c>
      <c r="J46" s="20" t="s">
        <v>2</v>
      </c>
      <c r="K46" s="20" t="s">
        <v>3</v>
      </c>
      <c r="L46" s="20" t="s">
        <v>39</v>
      </c>
      <c r="M46" s="20" t="s">
        <v>38</v>
      </c>
      <c r="N46" s="20" t="s">
        <v>45</v>
      </c>
      <c r="O46" s="20" t="s">
        <v>44</v>
      </c>
      <c r="Q46" s="686" t="s">
        <v>0</v>
      </c>
      <c r="R46" s="1017" t="s">
        <v>1391</v>
      </c>
      <c r="S46" s="1017" t="s">
        <v>1392</v>
      </c>
      <c r="T46" s="1017" t="s">
        <v>1116</v>
      </c>
      <c r="U46" s="20" t="s">
        <v>42</v>
      </c>
      <c r="V46" s="20" t="s">
        <v>43</v>
      </c>
      <c r="W46" s="18" t="s">
        <v>566</v>
      </c>
      <c r="X46" s="20" t="s">
        <v>567</v>
      </c>
      <c r="Y46" s="20" t="s">
        <v>2</v>
      </c>
      <c r="Z46" s="20" t="s">
        <v>3</v>
      </c>
      <c r="AA46" s="20" t="s">
        <v>568</v>
      </c>
      <c r="AB46" s="20" t="s">
        <v>569</v>
      </c>
      <c r="AC46" s="20" t="s">
        <v>570</v>
      </c>
      <c r="AD46" s="20" t="s">
        <v>571</v>
      </c>
    </row>
    <row r="47" spans="2:30" ht="36">
      <c r="B47" s="686" t="s">
        <v>14</v>
      </c>
      <c r="C47" s="20" t="s">
        <v>16</v>
      </c>
      <c r="D47" s="20" t="s">
        <v>17</v>
      </c>
      <c r="E47" s="704" t="s">
        <v>18</v>
      </c>
      <c r="F47" s="20" t="s">
        <v>19</v>
      </c>
      <c r="G47" s="20" t="s">
        <v>20</v>
      </c>
      <c r="H47" s="20" t="s">
        <v>30</v>
      </c>
      <c r="I47" s="20" t="s">
        <v>29</v>
      </c>
      <c r="J47" s="20" t="s">
        <v>21</v>
      </c>
      <c r="K47" s="20" t="s">
        <v>22</v>
      </c>
      <c r="L47" s="688" t="s">
        <v>608</v>
      </c>
      <c r="M47" s="688" t="s">
        <v>607</v>
      </c>
      <c r="N47" s="687" t="s">
        <v>25</v>
      </c>
      <c r="O47" s="20" t="s">
        <v>32</v>
      </c>
      <c r="Q47" s="686" t="s">
        <v>14</v>
      </c>
      <c r="R47" s="20" t="s">
        <v>16</v>
      </c>
      <c r="S47" s="20" t="s">
        <v>17</v>
      </c>
      <c r="T47" s="704" t="s">
        <v>18</v>
      </c>
      <c r="U47" s="20" t="s">
        <v>19</v>
      </c>
      <c r="V47" s="20" t="s">
        <v>20</v>
      </c>
      <c r="W47" s="20" t="s">
        <v>30</v>
      </c>
      <c r="X47" s="20" t="s">
        <v>29</v>
      </c>
      <c r="Y47" s="20" t="s">
        <v>21</v>
      </c>
      <c r="Z47" s="20" t="s">
        <v>22</v>
      </c>
      <c r="AA47" s="688" t="s">
        <v>608</v>
      </c>
      <c r="AB47" s="688" t="s">
        <v>607</v>
      </c>
      <c r="AC47" s="687" t="s">
        <v>25</v>
      </c>
      <c r="AD47" s="20" t="s">
        <v>32</v>
      </c>
    </row>
    <row r="48" spans="2:30">
      <c r="B48" s="684" t="s">
        <v>15</v>
      </c>
      <c r="C48" s="835" t="s">
        <v>1115</v>
      </c>
      <c r="D48" s="835" t="s">
        <v>1115</v>
      </c>
      <c r="E48" s="835" t="s">
        <v>172</v>
      </c>
      <c r="F48" s="5" t="s">
        <v>10</v>
      </c>
      <c r="G48" s="5" t="s">
        <v>10</v>
      </c>
      <c r="H48" s="5" t="s">
        <v>11</v>
      </c>
      <c r="I48" s="5" t="s">
        <v>11</v>
      </c>
      <c r="J48" s="5" t="s">
        <v>10</v>
      </c>
      <c r="K48" s="5" t="s">
        <v>10</v>
      </c>
      <c r="L48" s="5" t="s">
        <v>11</v>
      </c>
      <c r="M48" s="5" t="s">
        <v>11</v>
      </c>
      <c r="N48" s="5" t="s">
        <v>11</v>
      </c>
      <c r="O48" s="684" t="s">
        <v>31</v>
      </c>
      <c r="Q48" s="684" t="s">
        <v>15</v>
      </c>
      <c r="R48" s="835" t="s">
        <v>1115</v>
      </c>
      <c r="S48" s="835" t="s">
        <v>1115</v>
      </c>
      <c r="T48" s="835" t="s">
        <v>172</v>
      </c>
      <c r="U48" s="5" t="s">
        <v>10</v>
      </c>
      <c r="V48" s="5" t="s">
        <v>10</v>
      </c>
      <c r="W48" s="5" t="s">
        <v>11</v>
      </c>
      <c r="X48" s="5" t="s">
        <v>11</v>
      </c>
      <c r="Y48" s="5" t="s">
        <v>10</v>
      </c>
      <c r="Z48" s="5" t="s">
        <v>10</v>
      </c>
      <c r="AA48" s="5" t="s">
        <v>11</v>
      </c>
      <c r="AB48" s="5" t="s">
        <v>11</v>
      </c>
      <c r="AC48" s="5" t="s">
        <v>11</v>
      </c>
      <c r="AD48" s="684" t="s">
        <v>31</v>
      </c>
    </row>
    <row r="49" spans="2:30">
      <c r="B49" s="684">
        <v>1</v>
      </c>
      <c r="C49" s="3"/>
      <c r="D49" s="836">
        <f>P32</f>
        <v>0</v>
      </c>
      <c r="E49" s="837">
        <f>温度条件他根拠!E21</f>
        <v>0</v>
      </c>
      <c r="F49" s="838">
        <v>0</v>
      </c>
      <c r="G49" s="839">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684">
        <v>1</v>
      </c>
      <c r="R49" s="3"/>
      <c r="S49" s="836">
        <f>P14</f>
        <v>0</v>
      </c>
      <c r="T49" s="837">
        <f>温度条件他根拠!E21</f>
        <v>0</v>
      </c>
      <c r="U49" s="997">
        <f>F49</f>
        <v>0</v>
      </c>
      <c r="V49" s="998">
        <f>G49</f>
        <v>0.79999999999999993</v>
      </c>
      <c r="W49" s="7">
        <f t="shared" ref="W49:W60" si="14">$R$56*T49*U49/1000</f>
        <v>0</v>
      </c>
      <c r="X49" s="7">
        <f t="shared" ref="X49:X60" si="15">V49*T49*$S$49/1000</f>
        <v>0</v>
      </c>
      <c r="Y49" s="6">
        <f>温度条件他根拠!$C$61</f>
        <v>3.55</v>
      </c>
      <c r="Z49" s="6">
        <f>温度条件他根拠!$C$62</f>
        <v>3.95</v>
      </c>
      <c r="AA49" s="7">
        <f>W49/Y49</f>
        <v>0</v>
      </c>
      <c r="AB49" s="7">
        <f t="shared" ref="AA49:AB60" si="16">X49/Z49</f>
        <v>0</v>
      </c>
      <c r="AC49" s="13">
        <f>AA49+AB49</f>
        <v>0</v>
      </c>
      <c r="AD49" s="12">
        <f>AC49*0.495/1000</f>
        <v>0</v>
      </c>
    </row>
    <row r="50" spans="2:30">
      <c r="B50" s="684">
        <v>2</v>
      </c>
      <c r="C50" s="3"/>
      <c r="D50" s="3"/>
      <c r="E50" s="838">
        <f>E49</f>
        <v>0</v>
      </c>
      <c r="F50" s="838">
        <v>0</v>
      </c>
      <c r="G50" s="839">
        <f>0.8*(温度条件他根拠!$D$10--0.6)/(温度条件他根拠!$D$10-温度条件他根拠!$D$8)</f>
        <v>0.7665116279069768</v>
      </c>
      <c r="H50" s="7">
        <f t="shared" ref="H50:H60" si="17">$C$56*E50*F50/1000</f>
        <v>0</v>
      </c>
      <c r="I50" s="7">
        <f t="shared" ref="I50:I60" si="18">G50*E50*$D$49/1000</f>
        <v>0</v>
      </c>
      <c r="J50" s="6">
        <f>温度条件他根拠!$C$61</f>
        <v>3.55</v>
      </c>
      <c r="K50" s="6">
        <f>温度条件他根拠!$C$62</f>
        <v>3.95</v>
      </c>
      <c r="L50" s="7">
        <f t="shared" si="13"/>
        <v>0</v>
      </c>
      <c r="M50" s="7">
        <f t="shared" si="13"/>
        <v>0</v>
      </c>
      <c r="N50" s="13">
        <f t="shared" ref="N50:N60" si="19">L50+M50</f>
        <v>0</v>
      </c>
      <c r="O50" s="12">
        <f t="shared" ref="O50:O60" si="20">N50*0.495/1000</f>
        <v>0</v>
      </c>
      <c r="Q50" s="684">
        <v>2</v>
      </c>
      <c r="R50" s="3"/>
      <c r="S50" s="3"/>
      <c r="T50" s="838">
        <f>T49</f>
        <v>0</v>
      </c>
      <c r="U50" s="997">
        <f t="shared" ref="U50:V60" si="21">F50</f>
        <v>0</v>
      </c>
      <c r="V50" s="998">
        <f t="shared" si="21"/>
        <v>0.7665116279069768</v>
      </c>
      <c r="W50" s="7">
        <f t="shared" si="14"/>
        <v>0</v>
      </c>
      <c r="X50" s="7">
        <f t="shared" si="15"/>
        <v>0</v>
      </c>
      <c r="Y50" s="6">
        <f>温度条件他根拠!$C$61</f>
        <v>3.55</v>
      </c>
      <c r="Z50" s="6">
        <f>温度条件他根拠!$C$62</f>
        <v>3.95</v>
      </c>
      <c r="AA50" s="7">
        <f t="shared" si="16"/>
        <v>0</v>
      </c>
      <c r="AB50" s="7">
        <f t="shared" si="16"/>
        <v>0</v>
      </c>
      <c r="AC50" s="13">
        <f t="shared" ref="AC50:AC60" si="22">AA50+AB50</f>
        <v>0</v>
      </c>
      <c r="AD50" s="12">
        <f t="shared" ref="AD50:AD60" si="23">AC50*0.495/1000</f>
        <v>0</v>
      </c>
    </row>
    <row r="51" spans="2:30">
      <c r="B51" s="684">
        <v>3</v>
      </c>
      <c r="C51" s="3"/>
      <c r="D51" s="3"/>
      <c r="E51" s="838">
        <f t="shared" ref="E51:E60" si="24">E50</f>
        <v>0</v>
      </c>
      <c r="F51" s="838">
        <v>0</v>
      </c>
      <c r="G51" s="839">
        <f>0.8*(温度条件他根拠!$D$10-2.8)/(温度条件他根拠!$D$10-温度条件他根拠!$D$8)</f>
        <v>0.64</v>
      </c>
      <c r="H51" s="7">
        <f t="shared" si="17"/>
        <v>0</v>
      </c>
      <c r="I51" s="7">
        <f t="shared" si="18"/>
        <v>0</v>
      </c>
      <c r="J51" s="6">
        <f>温度条件他根拠!$C$61</f>
        <v>3.55</v>
      </c>
      <c r="K51" s="6">
        <f>温度条件他根拠!$C$62</f>
        <v>3.95</v>
      </c>
      <c r="L51" s="7">
        <f t="shared" si="13"/>
        <v>0</v>
      </c>
      <c r="M51" s="7">
        <f t="shared" si="13"/>
        <v>0</v>
      </c>
      <c r="N51" s="13">
        <f t="shared" si="19"/>
        <v>0</v>
      </c>
      <c r="O51" s="12">
        <f t="shared" si="20"/>
        <v>0</v>
      </c>
      <c r="Q51" s="684">
        <v>3</v>
      </c>
      <c r="R51" s="3"/>
      <c r="S51" s="3"/>
      <c r="T51" s="838">
        <f t="shared" ref="T51:T60" si="25">T50</f>
        <v>0</v>
      </c>
      <c r="U51" s="997">
        <f t="shared" si="21"/>
        <v>0</v>
      </c>
      <c r="V51" s="998">
        <f t="shared" si="21"/>
        <v>0.64</v>
      </c>
      <c r="W51" s="7">
        <f t="shared" si="14"/>
        <v>0</v>
      </c>
      <c r="X51" s="7">
        <f t="shared" si="15"/>
        <v>0</v>
      </c>
      <c r="Y51" s="6">
        <f>温度条件他根拠!$C$61</f>
        <v>3.55</v>
      </c>
      <c r="Z51" s="6">
        <f>温度条件他根拠!$C$62</f>
        <v>3.95</v>
      </c>
      <c r="AA51" s="7">
        <f t="shared" si="16"/>
        <v>0</v>
      </c>
      <c r="AB51" s="7">
        <f t="shared" si="16"/>
        <v>0</v>
      </c>
      <c r="AC51" s="13">
        <f t="shared" si="22"/>
        <v>0</v>
      </c>
      <c r="AD51" s="12">
        <f t="shared" si="23"/>
        <v>0</v>
      </c>
    </row>
    <row r="52" spans="2:30">
      <c r="B52" s="684">
        <v>4</v>
      </c>
      <c r="C52" s="3"/>
      <c r="D52" s="3"/>
      <c r="E52" s="838">
        <f t="shared" si="24"/>
        <v>0</v>
      </c>
      <c r="F52" s="838">
        <v>0</v>
      </c>
      <c r="G52" s="839">
        <f>0.8*(温度条件他根拠!$D$10-8.1)/(温度条件他根拠!$D$10-温度条件他根拠!$D$8)</f>
        <v>0.44279069767441864</v>
      </c>
      <c r="H52" s="7">
        <f t="shared" si="17"/>
        <v>0</v>
      </c>
      <c r="I52" s="7">
        <f t="shared" si="18"/>
        <v>0</v>
      </c>
      <c r="J52" s="6">
        <f>温度条件他根拠!$C$61</f>
        <v>3.55</v>
      </c>
      <c r="K52" s="6">
        <f>温度条件他根拠!$C$62</f>
        <v>3.95</v>
      </c>
      <c r="L52" s="7">
        <f t="shared" si="13"/>
        <v>0</v>
      </c>
      <c r="M52" s="7">
        <f t="shared" si="13"/>
        <v>0</v>
      </c>
      <c r="N52" s="13">
        <f t="shared" si="19"/>
        <v>0</v>
      </c>
      <c r="O52" s="12">
        <f t="shared" si="20"/>
        <v>0</v>
      </c>
      <c r="Q52" s="684">
        <v>4</v>
      </c>
      <c r="R52" s="3"/>
      <c r="S52" s="3"/>
      <c r="T52" s="838">
        <f t="shared" si="25"/>
        <v>0</v>
      </c>
      <c r="U52" s="997">
        <f t="shared" si="21"/>
        <v>0</v>
      </c>
      <c r="V52" s="998">
        <f t="shared" si="21"/>
        <v>0.44279069767441864</v>
      </c>
      <c r="W52" s="7">
        <f t="shared" si="14"/>
        <v>0</v>
      </c>
      <c r="X52" s="7">
        <f t="shared" si="15"/>
        <v>0</v>
      </c>
      <c r="Y52" s="6">
        <f>温度条件他根拠!$C$61</f>
        <v>3.55</v>
      </c>
      <c r="Z52" s="6">
        <f>温度条件他根拠!$C$62</f>
        <v>3.95</v>
      </c>
      <c r="AA52" s="7">
        <f t="shared" si="16"/>
        <v>0</v>
      </c>
      <c r="AB52" s="7">
        <f t="shared" si="16"/>
        <v>0</v>
      </c>
      <c r="AC52" s="13">
        <f t="shared" si="22"/>
        <v>0</v>
      </c>
      <c r="AD52" s="12">
        <f t="shared" si="23"/>
        <v>0</v>
      </c>
    </row>
    <row r="53" spans="2:30">
      <c r="B53" s="684">
        <v>5</v>
      </c>
      <c r="C53" s="3"/>
      <c r="D53" s="3"/>
      <c r="E53" s="838">
        <f t="shared" si="24"/>
        <v>0</v>
      </c>
      <c r="F53" s="839">
        <f>0.175*(温度条件他根拠!$D$7-温度条件他根拠!$D$9)/(温度条件他根拠!$D$7-23.2)</f>
        <v>7.3795180722891554E-2</v>
      </c>
      <c r="G53" s="839">
        <f>0.2*(温度条件他根拠!$D$10-13.4)/(温度条件他根拠!$D$10-温度条件他根拠!$D$8)</f>
        <v>6.1395348837209304E-2</v>
      </c>
      <c r="H53" s="836">
        <f>$C$56*E53*F53/1000</f>
        <v>0</v>
      </c>
      <c r="I53" s="836">
        <f>G53*E53*$D$49/1000</f>
        <v>0</v>
      </c>
      <c r="J53" s="6">
        <f>温度条件他根拠!$C$61</f>
        <v>3.55</v>
      </c>
      <c r="K53" s="6">
        <f>温度条件他根拠!$C$62</f>
        <v>3.95</v>
      </c>
      <c r="L53" s="7">
        <f t="shared" si="13"/>
        <v>0</v>
      </c>
      <c r="M53" s="7">
        <f t="shared" si="13"/>
        <v>0</v>
      </c>
      <c r="N53" s="13">
        <f t="shared" si="19"/>
        <v>0</v>
      </c>
      <c r="O53" s="12">
        <f t="shared" si="20"/>
        <v>0</v>
      </c>
      <c r="Q53" s="684">
        <v>5</v>
      </c>
      <c r="R53" s="3"/>
      <c r="S53" s="3"/>
      <c r="T53" s="838">
        <f t="shared" si="25"/>
        <v>0</v>
      </c>
      <c r="U53" s="998">
        <f t="shared" si="21"/>
        <v>7.3795180722891554E-2</v>
      </c>
      <c r="V53" s="998">
        <f t="shared" si="21"/>
        <v>6.1395348837209304E-2</v>
      </c>
      <c r="W53" s="836">
        <f t="shared" si="14"/>
        <v>0</v>
      </c>
      <c r="X53" s="836">
        <f t="shared" si="15"/>
        <v>0</v>
      </c>
      <c r="Y53" s="6">
        <f>温度条件他根拠!$C$61</f>
        <v>3.55</v>
      </c>
      <c r="Z53" s="6">
        <f>温度条件他根拠!$C$62</f>
        <v>3.95</v>
      </c>
      <c r="AA53" s="7">
        <f t="shared" si="16"/>
        <v>0</v>
      </c>
      <c r="AB53" s="7">
        <f t="shared" si="16"/>
        <v>0</v>
      </c>
      <c r="AC53" s="13">
        <f t="shared" si="22"/>
        <v>0</v>
      </c>
      <c r="AD53" s="12">
        <f t="shared" si="23"/>
        <v>0</v>
      </c>
    </row>
    <row r="54" spans="2:30">
      <c r="B54" s="684">
        <v>6</v>
      </c>
      <c r="C54" s="3"/>
      <c r="D54" s="3"/>
      <c r="E54" s="838">
        <f t="shared" si="24"/>
        <v>0</v>
      </c>
      <c r="F54" s="839">
        <f>0.7*(温度条件他根拠!$D$7-温度条件他根拠!$D$9)/(温度条件他根拠!$D$7-26)</f>
        <v>0.44545454545454538</v>
      </c>
      <c r="G54" s="838">
        <v>0</v>
      </c>
      <c r="H54" s="7">
        <f t="shared" si="17"/>
        <v>0</v>
      </c>
      <c r="I54" s="7">
        <f t="shared" si="18"/>
        <v>0</v>
      </c>
      <c r="J54" s="6">
        <f>温度条件他根拠!$C$61</f>
        <v>3.55</v>
      </c>
      <c r="K54" s="6">
        <f>温度条件他根拠!$C$62</f>
        <v>3.95</v>
      </c>
      <c r="L54" s="7">
        <f t="shared" si="13"/>
        <v>0</v>
      </c>
      <c r="M54" s="7">
        <f t="shared" si="13"/>
        <v>0</v>
      </c>
      <c r="N54" s="13">
        <f t="shared" si="19"/>
        <v>0</v>
      </c>
      <c r="O54" s="12">
        <f t="shared" si="20"/>
        <v>0</v>
      </c>
      <c r="Q54" s="684">
        <v>6</v>
      </c>
      <c r="R54" s="3"/>
      <c r="S54" s="3"/>
      <c r="T54" s="838">
        <f t="shared" si="25"/>
        <v>0</v>
      </c>
      <c r="U54" s="998">
        <f t="shared" si="21"/>
        <v>0.44545454545454538</v>
      </c>
      <c r="V54" s="997">
        <f t="shared" si="21"/>
        <v>0</v>
      </c>
      <c r="W54" s="7">
        <f t="shared" si="14"/>
        <v>0</v>
      </c>
      <c r="X54" s="7">
        <f t="shared" si="15"/>
        <v>0</v>
      </c>
      <c r="Y54" s="6">
        <f>温度条件他根拠!$C$61</f>
        <v>3.55</v>
      </c>
      <c r="Z54" s="6">
        <f>温度条件他根拠!$C$62</f>
        <v>3.95</v>
      </c>
      <c r="AA54" s="7">
        <f t="shared" si="16"/>
        <v>0</v>
      </c>
      <c r="AB54" s="7">
        <f t="shared" si="16"/>
        <v>0</v>
      </c>
      <c r="AC54" s="13">
        <f t="shared" si="22"/>
        <v>0</v>
      </c>
      <c r="AD54" s="12">
        <f t="shared" si="23"/>
        <v>0</v>
      </c>
    </row>
    <row r="55" spans="2:30">
      <c r="B55" s="684">
        <v>7</v>
      </c>
      <c r="C55" s="3"/>
      <c r="D55" s="3"/>
      <c r="E55" s="838">
        <f t="shared" si="24"/>
        <v>0</v>
      </c>
      <c r="F55" s="839">
        <f>0.7*(温度条件他根拠!$D$7-温度条件他根拠!$D$9)/(温度条件他根拠!$D$7-28)</f>
        <v>0.7</v>
      </c>
      <c r="G55" s="838">
        <v>0</v>
      </c>
      <c r="H55" s="7">
        <f t="shared" si="17"/>
        <v>0</v>
      </c>
      <c r="I55" s="7">
        <f t="shared" si="18"/>
        <v>0</v>
      </c>
      <c r="J55" s="6">
        <f>温度条件他根拠!$C$61</f>
        <v>3.55</v>
      </c>
      <c r="K55" s="6">
        <f>温度条件他根拠!$C$62</f>
        <v>3.95</v>
      </c>
      <c r="L55" s="7">
        <f t="shared" si="13"/>
        <v>0</v>
      </c>
      <c r="M55" s="7">
        <f t="shared" si="13"/>
        <v>0</v>
      </c>
      <c r="N55" s="13">
        <f t="shared" si="19"/>
        <v>0</v>
      </c>
      <c r="O55" s="12">
        <f t="shared" si="20"/>
        <v>0</v>
      </c>
      <c r="Q55" s="684">
        <v>7</v>
      </c>
      <c r="R55" s="3"/>
      <c r="S55" s="3"/>
      <c r="T55" s="838">
        <f t="shared" si="25"/>
        <v>0</v>
      </c>
      <c r="U55" s="998">
        <f t="shared" si="21"/>
        <v>0.7</v>
      </c>
      <c r="V55" s="997">
        <f t="shared" si="21"/>
        <v>0</v>
      </c>
      <c r="W55" s="7">
        <f t="shared" si="14"/>
        <v>0</v>
      </c>
      <c r="X55" s="7">
        <f t="shared" si="15"/>
        <v>0</v>
      </c>
      <c r="Y55" s="6">
        <f>温度条件他根拠!$C$61</f>
        <v>3.55</v>
      </c>
      <c r="Z55" s="6">
        <f>温度条件他根拠!$C$62</f>
        <v>3.95</v>
      </c>
      <c r="AA55" s="7">
        <f t="shared" si="16"/>
        <v>0</v>
      </c>
      <c r="AB55" s="7">
        <f t="shared" si="16"/>
        <v>0</v>
      </c>
      <c r="AC55" s="13">
        <f t="shared" si="22"/>
        <v>0</v>
      </c>
      <c r="AD55" s="12">
        <f t="shared" si="23"/>
        <v>0</v>
      </c>
    </row>
    <row r="56" spans="2:30">
      <c r="B56" s="684">
        <v>8</v>
      </c>
      <c r="C56" s="836">
        <f>L32</f>
        <v>0</v>
      </c>
      <c r="D56" s="3"/>
      <c r="E56" s="838">
        <f t="shared" si="24"/>
        <v>0</v>
      </c>
      <c r="F56" s="839">
        <f>0.7*(温度条件他根拠!$D$7-温度条件他根拠!$D$9)/(温度条件他根拠!$D$7-28)</f>
        <v>0.7</v>
      </c>
      <c r="G56" s="838">
        <v>0</v>
      </c>
      <c r="H56" s="7">
        <f>$C$56*E56*F56/1000</f>
        <v>0</v>
      </c>
      <c r="I56" s="7">
        <f t="shared" si="18"/>
        <v>0</v>
      </c>
      <c r="J56" s="6">
        <f>温度条件他根拠!$C$61</f>
        <v>3.55</v>
      </c>
      <c r="K56" s="6">
        <f>温度条件他根拠!$C$62</f>
        <v>3.95</v>
      </c>
      <c r="L56" s="7">
        <f t="shared" si="13"/>
        <v>0</v>
      </c>
      <c r="M56" s="7">
        <f t="shared" si="13"/>
        <v>0</v>
      </c>
      <c r="N56" s="13">
        <f t="shared" si="19"/>
        <v>0</v>
      </c>
      <c r="O56" s="12">
        <f t="shared" si="20"/>
        <v>0</v>
      </c>
      <c r="Q56" s="684">
        <v>8</v>
      </c>
      <c r="R56" s="836">
        <f>L14</f>
        <v>0</v>
      </c>
      <c r="S56" s="3"/>
      <c r="T56" s="838">
        <f t="shared" si="25"/>
        <v>0</v>
      </c>
      <c r="U56" s="998">
        <f t="shared" si="21"/>
        <v>0.7</v>
      </c>
      <c r="V56" s="997">
        <f t="shared" si="21"/>
        <v>0</v>
      </c>
      <c r="W56" s="7">
        <f t="shared" si="14"/>
        <v>0</v>
      </c>
      <c r="X56" s="7">
        <f t="shared" si="15"/>
        <v>0</v>
      </c>
      <c r="Y56" s="6">
        <f>温度条件他根拠!$C$61</f>
        <v>3.55</v>
      </c>
      <c r="Z56" s="6">
        <f>温度条件他根拠!$C$62</f>
        <v>3.95</v>
      </c>
      <c r="AA56" s="7">
        <f t="shared" si="16"/>
        <v>0</v>
      </c>
      <c r="AB56" s="7">
        <f t="shared" si="16"/>
        <v>0</v>
      </c>
      <c r="AC56" s="13">
        <f t="shared" si="22"/>
        <v>0</v>
      </c>
      <c r="AD56" s="12">
        <f t="shared" si="23"/>
        <v>0</v>
      </c>
    </row>
    <row r="57" spans="2:30">
      <c r="B57" s="684">
        <v>9</v>
      </c>
      <c r="C57" s="3"/>
      <c r="D57" s="3"/>
      <c r="E57" s="838">
        <f t="shared" si="24"/>
        <v>0</v>
      </c>
      <c r="F57" s="839">
        <f>0.7*(温度条件他根拠!$D$7-温度条件他根拠!$D$9)/(温度条件他根拠!$D$7-27.1)</f>
        <v>0.55681818181818199</v>
      </c>
      <c r="G57" s="838">
        <v>0</v>
      </c>
      <c r="H57" s="7">
        <f t="shared" si="17"/>
        <v>0</v>
      </c>
      <c r="I57" s="7">
        <f t="shared" si="18"/>
        <v>0</v>
      </c>
      <c r="J57" s="6">
        <f>温度条件他根拠!$C$61</f>
        <v>3.55</v>
      </c>
      <c r="K57" s="6">
        <f>温度条件他根拠!$C$62</f>
        <v>3.95</v>
      </c>
      <c r="L57" s="7">
        <f t="shared" si="13"/>
        <v>0</v>
      </c>
      <c r="M57" s="7">
        <f t="shared" si="13"/>
        <v>0</v>
      </c>
      <c r="N57" s="13">
        <f t="shared" si="19"/>
        <v>0</v>
      </c>
      <c r="O57" s="12">
        <f t="shared" si="20"/>
        <v>0</v>
      </c>
      <c r="Q57" s="684">
        <v>9</v>
      </c>
      <c r="R57" s="3"/>
      <c r="S57" s="3"/>
      <c r="T57" s="838">
        <f t="shared" si="25"/>
        <v>0</v>
      </c>
      <c r="U57" s="998">
        <f t="shared" si="21"/>
        <v>0.55681818181818199</v>
      </c>
      <c r="V57" s="997">
        <f t="shared" si="21"/>
        <v>0</v>
      </c>
      <c r="W57" s="7">
        <f t="shared" si="14"/>
        <v>0</v>
      </c>
      <c r="X57" s="7">
        <f t="shared" si="15"/>
        <v>0</v>
      </c>
      <c r="Y57" s="6">
        <f>温度条件他根拠!$C$61</f>
        <v>3.55</v>
      </c>
      <c r="Z57" s="6">
        <f>温度条件他根拠!$C$62</f>
        <v>3.95</v>
      </c>
      <c r="AA57" s="7">
        <f t="shared" si="16"/>
        <v>0</v>
      </c>
      <c r="AB57" s="7">
        <f t="shared" si="16"/>
        <v>0</v>
      </c>
      <c r="AC57" s="13">
        <f t="shared" si="22"/>
        <v>0</v>
      </c>
      <c r="AD57" s="12">
        <f t="shared" si="23"/>
        <v>0</v>
      </c>
    </row>
    <row r="58" spans="2:30">
      <c r="B58" s="684">
        <v>10</v>
      </c>
      <c r="C58" s="3"/>
      <c r="D58" s="3"/>
      <c r="E58" s="838">
        <f t="shared" si="24"/>
        <v>0</v>
      </c>
      <c r="F58" s="839">
        <f>0.175*(温度条件他根拠!$D$7-温度条件他根拠!$D$9)/(温度条件他根拠!$D$7-21.6)</f>
        <v>6.1868686868686872E-2</v>
      </c>
      <c r="G58" s="839">
        <f>0.2*(温度条件他根拠!$D$10-12.8)/(温度条件他根拠!$D$10-温度条件他根拠!$D$8)</f>
        <v>6.6976744186046502E-2</v>
      </c>
      <c r="H58" s="836">
        <f>$C$56*E58*F58/1000</f>
        <v>0</v>
      </c>
      <c r="I58" s="836">
        <f>G58*E58*$D$49/1000</f>
        <v>0</v>
      </c>
      <c r="J58" s="6">
        <f>温度条件他根拠!$C$61</f>
        <v>3.55</v>
      </c>
      <c r="K58" s="6">
        <f>温度条件他根拠!$C$62</f>
        <v>3.95</v>
      </c>
      <c r="L58" s="7">
        <f t="shared" si="13"/>
        <v>0</v>
      </c>
      <c r="M58" s="7">
        <f t="shared" si="13"/>
        <v>0</v>
      </c>
      <c r="N58" s="13">
        <f t="shared" si="19"/>
        <v>0</v>
      </c>
      <c r="O58" s="12">
        <f t="shared" si="20"/>
        <v>0</v>
      </c>
      <c r="Q58" s="684">
        <v>10</v>
      </c>
      <c r="R58" s="3"/>
      <c r="S58" s="3"/>
      <c r="T58" s="838">
        <f t="shared" si="25"/>
        <v>0</v>
      </c>
      <c r="U58" s="998">
        <f t="shared" si="21"/>
        <v>6.1868686868686872E-2</v>
      </c>
      <c r="V58" s="998">
        <f t="shared" si="21"/>
        <v>6.6976744186046502E-2</v>
      </c>
      <c r="W58" s="836">
        <f t="shared" si="14"/>
        <v>0</v>
      </c>
      <c r="X58" s="836">
        <f t="shared" si="15"/>
        <v>0</v>
      </c>
      <c r="Y58" s="6">
        <f>温度条件他根拠!$C$61</f>
        <v>3.55</v>
      </c>
      <c r="Z58" s="6">
        <f>温度条件他根拠!$C$62</f>
        <v>3.95</v>
      </c>
      <c r="AA58" s="7">
        <f t="shared" si="16"/>
        <v>0</v>
      </c>
      <c r="AB58" s="7">
        <f t="shared" si="16"/>
        <v>0</v>
      </c>
      <c r="AC58" s="13">
        <f t="shared" si="22"/>
        <v>0</v>
      </c>
      <c r="AD58" s="12">
        <f t="shared" si="23"/>
        <v>0</v>
      </c>
    </row>
    <row r="59" spans="2:30">
      <c r="B59" s="684">
        <v>11</v>
      </c>
      <c r="C59" s="3"/>
      <c r="D59" s="3"/>
      <c r="E59" s="838">
        <f t="shared" si="24"/>
        <v>0</v>
      </c>
      <c r="F59" s="838">
        <v>0</v>
      </c>
      <c r="G59" s="839">
        <f>0.8*(温度条件他根拠!$D$10-6.2)/(温度条件他根拠!$D$10-温度条件他根拠!$D$8)</f>
        <v>0.51348837209302334</v>
      </c>
      <c r="H59" s="7">
        <f t="shared" si="17"/>
        <v>0</v>
      </c>
      <c r="I59" s="7">
        <f t="shared" si="18"/>
        <v>0</v>
      </c>
      <c r="J59" s="6">
        <f>温度条件他根拠!$C$61</f>
        <v>3.55</v>
      </c>
      <c r="K59" s="6">
        <f>温度条件他根拠!$C$62</f>
        <v>3.95</v>
      </c>
      <c r="L59" s="7">
        <f t="shared" si="13"/>
        <v>0</v>
      </c>
      <c r="M59" s="7">
        <f t="shared" si="13"/>
        <v>0</v>
      </c>
      <c r="N59" s="13">
        <f t="shared" si="19"/>
        <v>0</v>
      </c>
      <c r="O59" s="12">
        <f t="shared" si="20"/>
        <v>0</v>
      </c>
      <c r="Q59" s="684">
        <v>11</v>
      </c>
      <c r="R59" s="3"/>
      <c r="S59" s="3"/>
      <c r="T59" s="838">
        <f t="shared" si="25"/>
        <v>0</v>
      </c>
      <c r="U59" s="997">
        <f t="shared" si="21"/>
        <v>0</v>
      </c>
      <c r="V59" s="998">
        <f t="shared" si="21"/>
        <v>0.51348837209302334</v>
      </c>
      <c r="W59" s="7">
        <f t="shared" si="14"/>
        <v>0</v>
      </c>
      <c r="X59" s="7">
        <f t="shared" si="15"/>
        <v>0</v>
      </c>
      <c r="Y59" s="6">
        <f>温度条件他根拠!$C$61</f>
        <v>3.55</v>
      </c>
      <c r="Z59" s="6">
        <f>温度条件他根拠!$C$62</f>
        <v>3.95</v>
      </c>
      <c r="AA59" s="7">
        <f t="shared" si="16"/>
        <v>0</v>
      </c>
      <c r="AB59" s="7">
        <f t="shared" si="16"/>
        <v>0</v>
      </c>
      <c r="AC59" s="13">
        <f t="shared" si="22"/>
        <v>0</v>
      </c>
      <c r="AD59" s="12">
        <f t="shared" si="23"/>
        <v>0</v>
      </c>
    </row>
    <row r="60" spans="2:30">
      <c r="B60" s="684">
        <v>12</v>
      </c>
      <c r="C60" s="3"/>
      <c r="D60" s="3"/>
      <c r="E60" s="838">
        <f t="shared" si="24"/>
        <v>0</v>
      </c>
      <c r="F60" s="838">
        <v>0</v>
      </c>
      <c r="G60" s="839">
        <f>0.8*(温度条件他根拠!$D$10-0.8)/(温度条件他根拠!$D$10-温度条件他根拠!$D$8)</f>
        <v>0.7144186046511628</v>
      </c>
      <c r="H60" s="7">
        <f t="shared" si="17"/>
        <v>0</v>
      </c>
      <c r="I60" s="7">
        <f t="shared" si="18"/>
        <v>0</v>
      </c>
      <c r="J60" s="6">
        <f>温度条件他根拠!$C$61</f>
        <v>3.55</v>
      </c>
      <c r="K60" s="6">
        <f>温度条件他根拠!$C$62</f>
        <v>3.95</v>
      </c>
      <c r="L60" s="7">
        <f t="shared" si="13"/>
        <v>0</v>
      </c>
      <c r="M60" s="7">
        <f t="shared" si="13"/>
        <v>0</v>
      </c>
      <c r="N60" s="13">
        <f t="shared" si="19"/>
        <v>0</v>
      </c>
      <c r="O60" s="12">
        <f t="shared" si="20"/>
        <v>0</v>
      </c>
      <c r="Q60" s="684">
        <v>12</v>
      </c>
      <c r="R60" s="3"/>
      <c r="S60" s="3"/>
      <c r="T60" s="838">
        <f t="shared" si="25"/>
        <v>0</v>
      </c>
      <c r="U60" s="997">
        <f t="shared" si="21"/>
        <v>0</v>
      </c>
      <c r="V60" s="998">
        <f t="shared" si="21"/>
        <v>0.7144186046511628</v>
      </c>
      <c r="W60" s="7">
        <f t="shared" si="14"/>
        <v>0</v>
      </c>
      <c r="X60" s="7">
        <f t="shared" si="15"/>
        <v>0</v>
      </c>
      <c r="Y60" s="6">
        <f>温度条件他根拠!$C$61</f>
        <v>3.55</v>
      </c>
      <c r="Z60" s="6">
        <f>温度条件他根拠!$C$62</f>
        <v>3.95</v>
      </c>
      <c r="AA60" s="7">
        <f t="shared" si="16"/>
        <v>0</v>
      </c>
      <c r="AB60" s="7">
        <f t="shared" si="16"/>
        <v>0</v>
      </c>
      <c r="AC60" s="13">
        <f t="shared" si="22"/>
        <v>0</v>
      </c>
      <c r="AD60" s="12">
        <f t="shared" si="23"/>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1000">
        <f>T64-E64</f>
        <v>0</v>
      </c>
      <c r="AC64" s="11" t="s">
        <v>7</v>
      </c>
    </row>
    <row r="85" spans="2:3">
      <c r="B85" s="1" t="s">
        <v>1079</v>
      </c>
    </row>
    <row r="86" spans="2:3">
      <c r="B86" s="691">
        <v>43927</v>
      </c>
      <c r="C86" s="900" t="s">
        <v>865</v>
      </c>
    </row>
    <row r="87" spans="2:3">
      <c r="B87" s="691">
        <v>43927</v>
      </c>
      <c r="C87" s="690" t="s">
        <v>866</v>
      </c>
    </row>
    <row r="88" spans="2:3">
      <c r="B88" s="691">
        <v>44634</v>
      </c>
      <c r="C88" s="690" t="s">
        <v>1119</v>
      </c>
    </row>
    <row r="89" spans="2:3">
      <c r="C89" s="690" t="s">
        <v>1120</v>
      </c>
    </row>
    <row r="90" spans="2:3">
      <c r="C90" s="1" t="s">
        <v>1121</v>
      </c>
    </row>
    <row r="91" spans="2:3">
      <c r="C91" s="1" t="s">
        <v>1133</v>
      </c>
    </row>
    <row r="92" spans="2:3">
      <c r="C92" s="1" t="s">
        <v>1134</v>
      </c>
    </row>
  </sheetData>
  <mergeCells count="21">
    <mergeCell ref="B2:O2"/>
    <mergeCell ref="P16:P23"/>
    <mergeCell ref="J3:J5"/>
    <mergeCell ref="K3:K5"/>
    <mergeCell ref="L3:L5"/>
    <mergeCell ref="N3:N5"/>
    <mergeCell ref="O3:O5"/>
    <mergeCell ref="P3:P5"/>
    <mergeCell ref="B45:O45"/>
    <mergeCell ref="B4:C5"/>
    <mergeCell ref="D4:F4"/>
    <mergeCell ref="G4:G5"/>
    <mergeCell ref="B6:B14"/>
    <mergeCell ref="J16:J22"/>
    <mergeCell ref="K16:K23"/>
    <mergeCell ref="L16:L23"/>
    <mergeCell ref="N16:N22"/>
    <mergeCell ref="O16:O23"/>
    <mergeCell ref="B15:B23"/>
    <mergeCell ref="B24:B33"/>
    <mergeCell ref="D33:F33"/>
  </mergeCells>
  <phoneticPr fontId="2"/>
  <pageMargins left="0" right="0" top="0.55118110236220474" bottom="0.15748031496062992" header="0.11811023622047245" footer="0"/>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tabColor rgb="FFFFFF00"/>
  </sheetPr>
  <dimension ref="B1:AD92"/>
  <sheetViews>
    <sheetView topLeftCell="A2" workbookViewId="0">
      <selection activeCell="H9" sqref="H9"/>
    </sheetView>
  </sheetViews>
  <sheetFormatPr defaultColWidth="9" defaultRowHeight="13"/>
  <cols>
    <col min="1" max="1" width="2.6328125" style="1" customWidth="1"/>
    <col min="2" max="7" width="9" style="1"/>
    <col min="8" max="8" width="10.08984375" style="1" customWidth="1"/>
    <col min="9" max="9" width="10.36328125" style="1" customWidth="1"/>
    <col min="10" max="13" width="9" style="1"/>
    <col min="14" max="14" width="10" style="1" customWidth="1"/>
    <col min="15" max="15" width="10.26953125" style="1" customWidth="1"/>
    <col min="16" max="16384" width="9" style="1"/>
  </cols>
  <sheetData>
    <row r="1" spans="2:17">
      <c r="B1" s="156">
        <f>温度条件他根拠!D6</f>
        <v>1</v>
      </c>
      <c r="C1" s="157"/>
      <c r="D1" s="705" t="str">
        <f ca="1">RIGHT(CELL("filename",D1),LEN(CELL("filename",D1))-FIND("]",CELL("filename",D1)))</f>
        <v>さいたま市窓断熱</v>
      </c>
      <c r="E1" s="81"/>
      <c r="F1" s="81"/>
      <c r="G1" s="81"/>
      <c r="H1" s="81"/>
      <c r="I1" s="81"/>
      <c r="J1" s="81"/>
      <c r="K1" s="81"/>
      <c r="L1" s="81"/>
      <c r="M1" s="81"/>
      <c r="N1" s="81"/>
      <c r="O1" s="81"/>
    </row>
    <row r="2" spans="2:17" ht="13.5" thickBot="1">
      <c r="Q2" s="1" t="s">
        <v>563</v>
      </c>
    </row>
    <row r="3" spans="2:17" ht="13.5" thickBot="1">
      <c r="B3" s="840" t="s">
        <v>1093</v>
      </c>
      <c r="C3" s="890"/>
      <c r="D3" s="841"/>
      <c r="E3" s="841"/>
      <c r="F3" s="841"/>
      <c r="G3" s="841"/>
      <c r="H3" s="1010"/>
      <c r="I3" s="1010"/>
      <c r="J3" s="2096" t="str">
        <f>J16</f>
        <v>D
時間帯合計値の最大値の方位別冷房負荷（計算採用値）</v>
      </c>
      <c r="K3" s="2099" t="str">
        <f>K16</f>
        <v>E
操業時間
(h/日)</v>
      </c>
      <c r="L3" s="2102" t="str">
        <f>L16</f>
        <v>①
＝ΣD×E
方位別
日冷房
負荷
削減量
（W・h/日）</v>
      </c>
      <c r="M3" s="897"/>
      <c r="N3" s="2096" t="str">
        <f>N16</f>
        <v>F
時間帯合計値の最大値の方位別暖房負荷（計算採用値）</v>
      </c>
      <c r="O3" s="2099" t="str">
        <f>O16</f>
        <v>E
操業時間
(h/日)</v>
      </c>
      <c r="P3" s="2102" t="str">
        <f>P16</f>
        <v>②
＝ΣF×E
方位別
日暖房
負荷
削減量
（W・h/日）</v>
      </c>
    </row>
    <row r="4" spans="2:17">
      <c r="B4" s="2088" t="s">
        <v>1094</v>
      </c>
      <c r="C4" s="2089"/>
      <c r="D4" s="2089" t="s">
        <v>1095</v>
      </c>
      <c r="E4" s="2089"/>
      <c r="F4" s="2089"/>
      <c r="G4" s="2092" t="s">
        <v>1122</v>
      </c>
      <c r="H4" s="894"/>
      <c r="I4" s="894"/>
      <c r="J4" s="2097"/>
      <c r="K4" s="2100"/>
      <c r="L4" s="2103"/>
      <c r="M4" s="896"/>
      <c r="N4" s="2097"/>
      <c r="O4" s="2100"/>
      <c r="P4" s="2103"/>
    </row>
    <row r="5" spans="2:17" ht="13.5" thickBot="1">
      <c r="B5" s="2090"/>
      <c r="C5" s="2091"/>
      <c r="D5" s="842" t="s">
        <v>1098</v>
      </c>
      <c r="E5" s="842" t="s">
        <v>1099</v>
      </c>
      <c r="F5" s="842" t="s">
        <v>1100</v>
      </c>
      <c r="G5" s="2093"/>
      <c r="H5" s="894"/>
      <c r="I5" s="894"/>
      <c r="J5" s="2098"/>
      <c r="K5" s="2101"/>
      <c r="L5" s="2104"/>
      <c r="M5" s="896"/>
      <c r="N5" s="2098"/>
      <c r="O5" s="2101"/>
      <c r="P5" s="2104"/>
    </row>
    <row r="6" spans="2:17">
      <c r="B6" s="2094" t="s">
        <v>1123</v>
      </c>
      <c r="C6" s="881" t="s">
        <v>1395</v>
      </c>
      <c r="D6" s="882">
        <f>結果!H40+結果!H54</f>
        <v>0</v>
      </c>
      <c r="E6" s="882">
        <f>結果!J40+結果!J54</f>
        <v>0</v>
      </c>
      <c r="F6" s="882">
        <f>結果!L40+結果!L54</f>
        <v>0</v>
      </c>
      <c r="G6" s="883">
        <f>結果!Q40</f>
        <v>0</v>
      </c>
      <c r="H6" s="894"/>
      <c r="I6" s="894"/>
      <c r="J6" s="857">
        <f>IF(D32&gt;=D33,D6,IF(E32&gt;=D33,E6,F6))</f>
        <v>0</v>
      </c>
      <c r="K6" s="857">
        <f>K24</f>
        <v>0</v>
      </c>
      <c r="L6" s="859">
        <f>K6*J6</f>
        <v>0</v>
      </c>
      <c r="M6" s="896"/>
      <c r="N6" s="860">
        <f>G6</f>
        <v>0</v>
      </c>
      <c r="O6" s="858">
        <f>K6</f>
        <v>0</v>
      </c>
      <c r="P6" s="859">
        <f>O6*N6</f>
        <v>0</v>
      </c>
    </row>
    <row r="7" spans="2:17">
      <c r="B7" s="2077"/>
      <c r="C7" s="877" t="s">
        <v>1396</v>
      </c>
      <c r="D7" s="882">
        <f>結果!H41+結果!H55</f>
        <v>0</v>
      </c>
      <c r="E7" s="882">
        <f>結果!J41+結果!J55</f>
        <v>0</v>
      </c>
      <c r="F7" s="882">
        <f>結果!L41+結果!L55</f>
        <v>0</v>
      </c>
      <c r="G7" s="879">
        <f>結果!Q41</f>
        <v>0</v>
      </c>
      <c r="H7" s="894"/>
      <c r="I7" s="894"/>
      <c r="J7" s="862">
        <f>IF(D32&gt;=D33,D7,IF(E32&gt;=D33,E7,F7))</f>
        <v>0</v>
      </c>
      <c r="K7" s="862">
        <f>K25</f>
        <v>0</v>
      </c>
      <c r="L7" s="864">
        <f t="shared" ref="L7:L13" si="0">K7*J7</f>
        <v>0</v>
      </c>
      <c r="M7" s="896"/>
      <c r="N7" s="865">
        <f>G7</f>
        <v>0</v>
      </c>
      <c r="O7" s="863">
        <f>K7</f>
        <v>0</v>
      </c>
      <c r="P7" s="864">
        <f t="shared" ref="P7:P13" si="1">O7*N7</f>
        <v>0</v>
      </c>
    </row>
    <row r="8" spans="2:17">
      <c r="B8" s="2077"/>
      <c r="C8" s="877" t="s">
        <v>1397</v>
      </c>
      <c r="D8" s="882">
        <f>結果!H42+結果!H56</f>
        <v>0</v>
      </c>
      <c r="E8" s="882">
        <f>結果!J42+結果!J56</f>
        <v>0</v>
      </c>
      <c r="F8" s="882">
        <f>結果!L42+結果!L56</f>
        <v>0</v>
      </c>
      <c r="G8" s="879">
        <f>結果!Q42</f>
        <v>0</v>
      </c>
      <c r="H8" s="894"/>
      <c r="I8" s="894"/>
      <c r="J8" s="862">
        <f>IF(D32&gt;=D33,D8,IF(E32&gt;=D33,E8,F8))</f>
        <v>0</v>
      </c>
      <c r="K8" s="862">
        <f t="shared" ref="K8:K13" si="2">K26</f>
        <v>0</v>
      </c>
      <c r="L8" s="864">
        <f t="shared" si="0"/>
        <v>0</v>
      </c>
      <c r="M8" s="896"/>
      <c r="N8" s="865">
        <f t="shared" ref="N8:N12" si="3">G8</f>
        <v>0</v>
      </c>
      <c r="O8" s="863">
        <f t="shared" ref="O8:O13" si="4">K8</f>
        <v>0</v>
      </c>
      <c r="P8" s="864">
        <f t="shared" si="1"/>
        <v>0</v>
      </c>
    </row>
    <row r="9" spans="2:17">
      <c r="B9" s="2077"/>
      <c r="C9" s="877" t="s">
        <v>1398</v>
      </c>
      <c r="D9" s="882">
        <f>結果!H43+結果!H57</f>
        <v>0</v>
      </c>
      <c r="E9" s="882">
        <f>結果!J43+結果!J57</f>
        <v>0</v>
      </c>
      <c r="F9" s="882">
        <f>結果!L43+結果!L57</f>
        <v>0</v>
      </c>
      <c r="G9" s="879">
        <f>結果!Q43</f>
        <v>0</v>
      </c>
      <c r="H9" s="894"/>
      <c r="I9" s="894"/>
      <c r="J9" s="862">
        <f>IF(D32&gt;=D33,D9,IF(E32&gt;=D33,E9,F9))</f>
        <v>0</v>
      </c>
      <c r="K9" s="862">
        <f t="shared" si="2"/>
        <v>0</v>
      </c>
      <c r="L9" s="864">
        <f t="shared" si="0"/>
        <v>0</v>
      </c>
      <c r="M9" s="896"/>
      <c r="N9" s="865">
        <f t="shared" si="3"/>
        <v>0</v>
      </c>
      <c r="O9" s="863">
        <f t="shared" si="4"/>
        <v>0</v>
      </c>
      <c r="P9" s="864">
        <f t="shared" si="1"/>
        <v>0</v>
      </c>
    </row>
    <row r="10" spans="2:17">
      <c r="B10" s="2077"/>
      <c r="C10" s="877" t="s">
        <v>1399</v>
      </c>
      <c r="D10" s="882">
        <f>結果!H44+結果!H58</f>
        <v>0</v>
      </c>
      <c r="E10" s="882">
        <f>結果!J44+結果!J58</f>
        <v>0</v>
      </c>
      <c r="F10" s="882">
        <f>結果!L44+結果!L58</f>
        <v>0</v>
      </c>
      <c r="G10" s="879">
        <f>結果!Q44</f>
        <v>0</v>
      </c>
      <c r="H10" s="895"/>
      <c r="I10" s="894"/>
      <c r="J10" s="862">
        <f>IF(D32&gt;=D33,D10,IF(E32&gt;=D33,E10,F10))</f>
        <v>0</v>
      </c>
      <c r="K10" s="862">
        <f t="shared" si="2"/>
        <v>0</v>
      </c>
      <c r="L10" s="864">
        <f t="shared" si="0"/>
        <v>0</v>
      </c>
      <c r="M10" s="896"/>
      <c r="N10" s="865">
        <f t="shared" si="3"/>
        <v>0</v>
      </c>
      <c r="O10" s="862">
        <f t="shared" si="4"/>
        <v>0</v>
      </c>
      <c r="P10" s="864">
        <f t="shared" si="1"/>
        <v>0</v>
      </c>
    </row>
    <row r="11" spans="2:17">
      <c r="B11" s="2077"/>
      <c r="C11" s="877" t="s">
        <v>1400</v>
      </c>
      <c r="D11" s="882">
        <f>結果!H45+結果!H59</f>
        <v>0</v>
      </c>
      <c r="E11" s="882">
        <f>結果!J45+結果!J59</f>
        <v>0</v>
      </c>
      <c r="F11" s="882">
        <f>結果!L45+結果!L59</f>
        <v>0</v>
      </c>
      <c r="G11" s="879">
        <f>結果!Q45</f>
        <v>0</v>
      </c>
      <c r="H11" s="894"/>
      <c r="I11" s="894"/>
      <c r="J11" s="862">
        <f>IF(D32&gt;=D33,D11,IF(E32&gt;=D33,E11,F11))</f>
        <v>0</v>
      </c>
      <c r="K11" s="862">
        <f t="shared" si="2"/>
        <v>0</v>
      </c>
      <c r="L11" s="864">
        <f t="shared" si="0"/>
        <v>0</v>
      </c>
      <c r="M11" s="896"/>
      <c r="N11" s="865">
        <f t="shared" si="3"/>
        <v>0</v>
      </c>
      <c r="O11" s="863">
        <f t="shared" si="4"/>
        <v>0</v>
      </c>
      <c r="P11" s="864">
        <f t="shared" si="1"/>
        <v>0</v>
      </c>
    </row>
    <row r="12" spans="2:17">
      <c r="B12" s="2077"/>
      <c r="C12" s="877" t="s">
        <v>1401</v>
      </c>
      <c r="D12" s="882">
        <f>結果!H46+結果!H60</f>
        <v>0</v>
      </c>
      <c r="E12" s="882">
        <f>結果!J46+結果!J60</f>
        <v>0</v>
      </c>
      <c r="F12" s="882">
        <f>結果!L46+結果!L60</f>
        <v>0</v>
      </c>
      <c r="G12" s="879">
        <f>結果!Q46</f>
        <v>0</v>
      </c>
      <c r="H12" s="894"/>
      <c r="I12" s="894"/>
      <c r="J12" s="862">
        <f>IF(D32&gt;=D33,D12,IF(E32&gt;=D33,E12,F12))</f>
        <v>0</v>
      </c>
      <c r="K12" s="862">
        <f t="shared" si="2"/>
        <v>0</v>
      </c>
      <c r="L12" s="864">
        <f t="shared" si="0"/>
        <v>0</v>
      </c>
      <c r="M12" s="896"/>
      <c r="N12" s="865">
        <f t="shared" si="3"/>
        <v>0</v>
      </c>
      <c r="O12" s="863">
        <f t="shared" si="4"/>
        <v>0</v>
      </c>
      <c r="P12" s="864">
        <f t="shared" si="1"/>
        <v>0</v>
      </c>
    </row>
    <row r="13" spans="2:17" ht="13.5" thickBot="1">
      <c r="B13" s="2077"/>
      <c r="C13" s="878" t="s">
        <v>1402</v>
      </c>
      <c r="D13" s="882">
        <f>結果!H47+結果!H61</f>
        <v>0</v>
      </c>
      <c r="E13" s="882">
        <f>結果!J47+結果!J61</f>
        <v>0</v>
      </c>
      <c r="F13" s="882">
        <f>結果!L47+結果!L61</f>
        <v>0</v>
      </c>
      <c r="G13" s="879">
        <f>結果!Q47</f>
        <v>0</v>
      </c>
      <c r="H13" s="894"/>
      <c r="I13" s="894"/>
      <c r="J13" s="868">
        <f>IF(D32&gt;=D33,D13,IF(E32&gt;=D33,E13,F13))</f>
        <v>0</v>
      </c>
      <c r="K13" s="862">
        <f t="shared" si="2"/>
        <v>0</v>
      </c>
      <c r="L13" s="870">
        <f t="shared" si="0"/>
        <v>0</v>
      </c>
      <c r="M13" s="896"/>
      <c r="N13" s="865">
        <f>G13</f>
        <v>0</v>
      </c>
      <c r="O13" s="863">
        <f t="shared" si="4"/>
        <v>0</v>
      </c>
      <c r="P13" s="870">
        <f t="shared" si="1"/>
        <v>0</v>
      </c>
    </row>
    <row r="14" spans="2:17" ht="13.5" customHeight="1" thickBot="1">
      <c r="B14" s="2095"/>
      <c r="C14" s="852" t="s">
        <v>1124</v>
      </c>
      <c r="D14" s="853">
        <f>SUM(D6:D13)</f>
        <v>0</v>
      </c>
      <c r="E14" s="853">
        <f t="shared" ref="E14:G14" si="5">SUM(E6:E13)</f>
        <v>0</v>
      </c>
      <c r="F14" s="853">
        <f t="shared" si="5"/>
        <v>0</v>
      </c>
      <c r="G14" s="854">
        <f t="shared" si="5"/>
        <v>0</v>
      </c>
      <c r="H14" s="894"/>
      <c r="I14" s="894"/>
      <c r="J14" s="874">
        <f>SUM(J6:J13)</f>
        <v>0</v>
      </c>
      <c r="K14" s="875"/>
      <c r="L14" s="876">
        <f>SUM(L6:L13)</f>
        <v>0</v>
      </c>
      <c r="M14" s="896"/>
      <c r="N14" s="874">
        <f>SUM(N6:N13)</f>
        <v>0</v>
      </c>
      <c r="O14" s="875"/>
      <c r="P14" s="876">
        <f>SUM(P6:P13)</f>
        <v>0</v>
      </c>
    </row>
    <row r="15" spans="2:17" ht="13.5" thickBot="1">
      <c r="B15" s="2088" t="s">
        <v>1128</v>
      </c>
      <c r="C15" s="898" t="str">
        <f>C6</f>
        <v>北</v>
      </c>
      <c r="D15" s="882">
        <f>結果!H80+結果!H94</f>
        <v>0</v>
      </c>
      <c r="E15" s="882">
        <f>結果!J80+結果!J94</f>
        <v>0</v>
      </c>
      <c r="F15" s="882">
        <f>結果!L80+結果!L94</f>
        <v>0</v>
      </c>
      <c r="G15" s="899">
        <f>結果!Q80</f>
        <v>0</v>
      </c>
      <c r="H15" s="1010"/>
      <c r="I15" s="1010"/>
      <c r="J15" s="894"/>
      <c r="K15" s="894"/>
      <c r="L15" s="894"/>
      <c r="M15" s="896"/>
      <c r="N15" s="896"/>
      <c r="O15" s="896"/>
      <c r="P15" s="897"/>
    </row>
    <row r="16" spans="2:17" ht="13" customHeight="1">
      <c r="B16" s="2077"/>
      <c r="C16" s="846" t="str">
        <f t="shared" ref="C16:C32" si="6">C7</f>
        <v>北東</v>
      </c>
      <c r="D16" s="847">
        <f>結果!H81+結果!H95</f>
        <v>0</v>
      </c>
      <c r="E16" s="882">
        <f>結果!J81+結果!J95</f>
        <v>0</v>
      </c>
      <c r="F16" s="882">
        <f>結果!L81+結果!L95</f>
        <v>0</v>
      </c>
      <c r="G16" s="848">
        <f>結果!Q81</f>
        <v>0</v>
      </c>
      <c r="H16" s="1010"/>
      <c r="I16" s="1010"/>
      <c r="J16" s="2084" t="s">
        <v>1125</v>
      </c>
      <c r="K16" s="2084" t="s">
        <v>1140</v>
      </c>
      <c r="L16" s="2084" t="s">
        <v>1126</v>
      </c>
      <c r="M16" s="896"/>
      <c r="N16" s="2084" t="s">
        <v>1127</v>
      </c>
      <c r="O16" s="2084" t="s">
        <v>1140</v>
      </c>
      <c r="P16" s="2084" t="s">
        <v>1390</v>
      </c>
    </row>
    <row r="17" spans="2:16">
      <c r="B17" s="2077"/>
      <c r="C17" s="846" t="str">
        <f t="shared" si="6"/>
        <v>東</v>
      </c>
      <c r="D17" s="847">
        <f>結果!H82+結果!H96</f>
        <v>0</v>
      </c>
      <c r="E17" s="882">
        <f>結果!J82+結果!J96</f>
        <v>0</v>
      </c>
      <c r="F17" s="882">
        <f>結果!L82+結果!L96</f>
        <v>0</v>
      </c>
      <c r="G17" s="848">
        <f>結果!Q82</f>
        <v>0</v>
      </c>
      <c r="H17" s="1010"/>
      <c r="I17" s="1010"/>
      <c r="J17" s="2085"/>
      <c r="K17" s="2085"/>
      <c r="L17" s="2085"/>
      <c r="M17" s="896"/>
      <c r="N17" s="2085"/>
      <c r="O17" s="2085"/>
      <c r="P17" s="2085"/>
    </row>
    <row r="18" spans="2:16">
      <c r="B18" s="2077"/>
      <c r="C18" s="846" t="str">
        <f t="shared" si="6"/>
        <v>南東</v>
      </c>
      <c r="D18" s="847">
        <f>結果!H83+結果!H97</f>
        <v>0</v>
      </c>
      <c r="E18" s="882">
        <f>結果!J83+結果!J97</f>
        <v>0</v>
      </c>
      <c r="F18" s="882">
        <f>結果!L83+結果!L97</f>
        <v>0</v>
      </c>
      <c r="G18" s="848">
        <f>結果!Q83</f>
        <v>0</v>
      </c>
      <c r="H18" s="1010"/>
      <c r="I18" s="1010"/>
      <c r="J18" s="2085"/>
      <c r="K18" s="2085"/>
      <c r="L18" s="2085"/>
      <c r="M18" s="896"/>
      <c r="N18" s="2085"/>
      <c r="O18" s="2085"/>
      <c r="P18" s="2085"/>
    </row>
    <row r="19" spans="2:16">
      <c r="B19" s="2077"/>
      <c r="C19" s="846" t="str">
        <f t="shared" si="6"/>
        <v>南</v>
      </c>
      <c r="D19" s="847">
        <f>結果!H84+結果!H98</f>
        <v>0</v>
      </c>
      <c r="E19" s="882">
        <f>結果!J84+結果!J98</f>
        <v>0</v>
      </c>
      <c r="F19" s="882">
        <f>結果!L84+結果!L98</f>
        <v>0</v>
      </c>
      <c r="G19" s="848">
        <f>結果!Q84</f>
        <v>0</v>
      </c>
      <c r="H19" s="1010"/>
      <c r="I19" s="1010"/>
      <c r="J19" s="2085"/>
      <c r="K19" s="2085"/>
      <c r="L19" s="2085"/>
      <c r="M19" s="896"/>
      <c r="N19" s="2085"/>
      <c r="O19" s="2085"/>
      <c r="P19" s="2085"/>
    </row>
    <row r="20" spans="2:16">
      <c r="B20" s="2077"/>
      <c r="C20" s="846" t="str">
        <f t="shared" si="6"/>
        <v>南西</v>
      </c>
      <c r="D20" s="847">
        <f>結果!H85+結果!H99</f>
        <v>0</v>
      </c>
      <c r="E20" s="882">
        <f>結果!J85+結果!J99</f>
        <v>0</v>
      </c>
      <c r="F20" s="882">
        <f>結果!L85+結果!L99</f>
        <v>0</v>
      </c>
      <c r="G20" s="848">
        <f>結果!Q85</f>
        <v>0</v>
      </c>
      <c r="H20" s="1010"/>
      <c r="I20" s="1010"/>
      <c r="J20" s="2085"/>
      <c r="K20" s="2085"/>
      <c r="L20" s="2085"/>
      <c r="M20" s="896"/>
      <c r="N20" s="2085"/>
      <c r="O20" s="2085"/>
      <c r="P20" s="2085"/>
    </row>
    <row r="21" spans="2:16">
      <c r="B21" s="2077"/>
      <c r="C21" s="846" t="str">
        <f t="shared" si="6"/>
        <v>西</v>
      </c>
      <c r="D21" s="847">
        <f>結果!H86+結果!H100</f>
        <v>0</v>
      </c>
      <c r="E21" s="882">
        <f>結果!J86+結果!J100</f>
        <v>0</v>
      </c>
      <c r="F21" s="882">
        <f>結果!L86+結果!L100</f>
        <v>0</v>
      </c>
      <c r="G21" s="848">
        <f>結果!Q86</f>
        <v>0</v>
      </c>
      <c r="H21" s="1010"/>
      <c r="I21" s="1010"/>
      <c r="J21" s="2085"/>
      <c r="K21" s="2085"/>
      <c r="L21" s="2085"/>
      <c r="M21" s="896"/>
      <c r="N21" s="2085"/>
      <c r="O21" s="2085"/>
      <c r="P21" s="2085"/>
    </row>
    <row r="22" spans="2:16" ht="13.5" thickBot="1">
      <c r="B22" s="2077"/>
      <c r="C22" s="849" t="str">
        <f t="shared" si="6"/>
        <v>北西</v>
      </c>
      <c r="D22" s="850">
        <f>結果!H87+結果!H101</f>
        <v>0</v>
      </c>
      <c r="E22" s="882">
        <f>結果!J87+結果!J101</f>
        <v>0</v>
      </c>
      <c r="F22" s="882">
        <f>結果!L87+結果!L101</f>
        <v>0</v>
      </c>
      <c r="G22" s="851">
        <f>結果!Q87</f>
        <v>0</v>
      </c>
      <c r="H22" s="1010"/>
      <c r="I22" s="1010"/>
      <c r="J22" s="2086"/>
      <c r="K22" s="2085"/>
      <c r="L22" s="2085"/>
      <c r="M22" s="896"/>
      <c r="N22" s="2085"/>
      <c r="O22" s="2085"/>
      <c r="P22" s="2085"/>
    </row>
    <row r="23" spans="2:16" ht="13.5" thickBot="1">
      <c r="B23" s="2079"/>
      <c r="C23" s="852" t="str">
        <f t="shared" si="6"/>
        <v>合計</v>
      </c>
      <c r="D23" s="853">
        <f>SUM(D15:D22)</f>
        <v>0</v>
      </c>
      <c r="E23" s="853">
        <f t="shared" ref="E23:G23" si="7">SUM(E15:E22)</f>
        <v>0</v>
      </c>
      <c r="F23" s="853">
        <f t="shared" si="7"/>
        <v>0</v>
      </c>
      <c r="G23" s="854">
        <f t="shared" si="7"/>
        <v>0</v>
      </c>
      <c r="H23" s="1010"/>
      <c r="I23" s="1010"/>
      <c r="J23" s="855" t="str">
        <f>IF(D32&gt;=D33,"９時",IF(E32&gt;=D33,"１２時","１５時"))</f>
        <v>９時</v>
      </c>
      <c r="K23" s="2087"/>
      <c r="L23" s="2087"/>
      <c r="M23" s="896"/>
      <c r="N23" s="999"/>
      <c r="O23" s="2087"/>
      <c r="P23" s="2087"/>
    </row>
    <row r="24" spans="2:16">
      <c r="B24" s="2076" t="s">
        <v>1129</v>
      </c>
      <c r="C24" s="856" t="str">
        <f>C15</f>
        <v>北</v>
      </c>
      <c r="D24" s="844">
        <f>D6-D15</f>
        <v>0</v>
      </c>
      <c r="E24" s="844">
        <f t="shared" ref="E24:G24" si="8">E6-E15</f>
        <v>0</v>
      </c>
      <c r="F24" s="844">
        <f t="shared" si="8"/>
        <v>0</v>
      </c>
      <c r="G24" s="845">
        <f t="shared" si="8"/>
        <v>0</v>
      </c>
      <c r="H24" s="1010"/>
      <c r="I24" s="1010"/>
      <c r="J24" s="857">
        <f>IF(D32&gt;=D33,D24,IF(E32&gt;=D33,E24,F24))</f>
        <v>0</v>
      </c>
      <c r="K24" s="901">
        <f>温度条件他根拠!E29</f>
        <v>0</v>
      </c>
      <c r="L24" s="859">
        <f>K24*J24</f>
        <v>0</v>
      </c>
      <c r="M24" s="896"/>
      <c r="N24" s="860">
        <f>G24</f>
        <v>0</v>
      </c>
      <c r="O24" s="858">
        <f>K24</f>
        <v>0</v>
      </c>
      <c r="P24" s="859">
        <f>O24*N24</f>
        <v>0</v>
      </c>
    </row>
    <row r="25" spans="2:16">
      <c r="B25" s="2077"/>
      <c r="C25" s="861" t="str">
        <f t="shared" si="6"/>
        <v>北東</v>
      </c>
      <c r="D25" s="847">
        <f t="shared" ref="D25:G31" si="9">D7-D16</f>
        <v>0</v>
      </c>
      <c r="E25" s="847">
        <f t="shared" si="9"/>
        <v>0</v>
      </c>
      <c r="F25" s="847">
        <f t="shared" si="9"/>
        <v>0</v>
      </c>
      <c r="G25" s="848">
        <f t="shared" si="9"/>
        <v>0</v>
      </c>
      <c r="H25" s="1010"/>
      <c r="I25" s="1010"/>
      <c r="J25" s="862">
        <f>IF(D32&gt;=D33,D25,IF(E32&gt;=D33,E25,F25))</f>
        <v>0</v>
      </c>
      <c r="K25" s="902">
        <f>K24</f>
        <v>0</v>
      </c>
      <c r="L25" s="864">
        <f t="shared" ref="L25:L31" si="10">K25*J25</f>
        <v>0</v>
      </c>
      <c r="M25" s="896"/>
      <c r="N25" s="865">
        <f>G25</f>
        <v>0</v>
      </c>
      <c r="O25" s="863">
        <f>K25</f>
        <v>0</v>
      </c>
      <c r="P25" s="864">
        <f t="shared" ref="P25:P31" si="11">O25*N25</f>
        <v>0</v>
      </c>
    </row>
    <row r="26" spans="2:16">
      <c r="B26" s="2077"/>
      <c r="C26" s="861" t="str">
        <f t="shared" si="6"/>
        <v>東</v>
      </c>
      <c r="D26" s="847">
        <f t="shared" si="9"/>
        <v>0</v>
      </c>
      <c r="E26" s="847">
        <f t="shared" si="9"/>
        <v>0</v>
      </c>
      <c r="F26" s="847">
        <f t="shared" si="9"/>
        <v>0</v>
      </c>
      <c r="G26" s="848">
        <f t="shared" si="9"/>
        <v>0</v>
      </c>
      <c r="H26" s="1010"/>
      <c r="I26" s="1010"/>
      <c r="J26" s="862">
        <f>IF(D32&gt;=D33,D26,IF(E32&gt;=D33,E26,F26))</f>
        <v>0</v>
      </c>
      <c r="K26" s="902">
        <f t="shared" ref="K26:K31" si="12">K25</f>
        <v>0</v>
      </c>
      <c r="L26" s="864">
        <f t="shared" si="10"/>
        <v>0</v>
      </c>
      <c r="M26" s="896"/>
      <c r="N26" s="865">
        <f t="shared" ref="N26:N31" si="13">G26</f>
        <v>0</v>
      </c>
      <c r="O26" s="863">
        <f t="shared" ref="O26:O31" si="14">K26</f>
        <v>0</v>
      </c>
      <c r="P26" s="864">
        <f t="shared" si="11"/>
        <v>0</v>
      </c>
    </row>
    <row r="27" spans="2:16">
      <c r="B27" s="2077"/>
      <c r="C27" s="861" t="str">
        <f t="shared" si="6"/>
        <v>南東</v>
      </c>
      <c r="D27" s="847">
        <f t="shared" si="9"/>
        <v>0</v>
      </c>
      <c r="E27" s="847">
        <f t="shared" si="9"/>
        <v>0</v>
      </c>
      <c r="F27" s="847">
        <f t="shared" si="9"/>
        <v>0</v>
      </c>
      <c r="G27" s="848">
        <f t="shared" si="9"/>
        <v>0</v>
      </c>
      <c r="H27" s="1010"/>
      <c r="I27" s="1010"/>
      <c r="J27" s="862">
        <f>IF(D32&gt;=D33,D27,IF(E32&gt;=D33,E27,F27))</f>
        <v>0</v>
      </c>
      <c r="K27" s="902">
        <f t="shared" si="12"/>
        <v>0</v>
      </c>
      <c r="L27" s="864">
        <f t="shared" si="10"/>
        <v>0</v>
      </c>
      <c r="M27" s="896"/>
      <c r="N27" s="865">
        <f t="shared" si="13"/>
        <v>0</v>
      </c>
      <c r="O27" s="863">
        <f t="shared" si="14"/>
        <v>0</v>
      </c>
      <c r="P27" s="864">
        <f t="shared" si="11"/>
        <v>0</v>
      </c>
    </row>
    <row r="28" spans="2:16">
      <c r="B28" s="2077"/>
      <c r="C28" s="861" t="str">
        <f t="shared" si="6"/>
        <v>南</v>
      </c>
      <c r="D28" s="847">
        <f t="shared" si="9"/>
        <v>0</v>
      </c>
      <c r="E28" s="847">
        <f t="shared" si="9"/>
        <v>0</v>
      </c>
      <c r="F28" s="847">
        <f t="shared" si="9"/>
        <v>0</v>
      </c>
      <c r="G28" s="848">
        <f t="shared" si="9"/>
        <v>0</v>
      </c>
      <c r="H28" s="1010"/>
      <c r="I28" s="1010"/>
      <c r="J28" s="862">
        <f>IF(D32&gt;=D33,D28,IF(E32&gt;=D33,E28,F28))</f>
        <v>0</v>
      </c>
      <c r="K28" s="902">
        <f t="shared" si="12"/>
        <v>0</v>
      </c>
      <c r="L28" s="864">
        <f t="shared" si="10"/>
        <v>0</v>
      </c>
      <c r="M28" s="896"/>
      <c r="N28" s="865">
        <f t="shared" si="13"/>
        <v>0</v>
      </c>
      <c r="O28" s="862">
        <f t="shared" si="14"/>
        <v>0</v>
      </c>
      <c r="P28" s="864">
        <f t="shared" si="11"/>
        <v>0</v>
      </c>
    </row>
    <row r="29" spans="2:16">
      <c r="B29" s="2077"/>
      <c r="C29" s="861" t="str">
        <f t="shared" si="6"/>
        <v>南西</v>
      </c>
      <c r="D29" s="847">
        <f t="shared" si="9"/>
        <v>0</v>
      </c>
      <c r="E29" s="847">
        <f t="shared" si="9"/>
        <v>0</v>
      </c>
      <c r="F29" s="847">
        <f t="shared" si="9"/>
        <v>0</v>
      </c>
      <c r="G29" s="848">
        <f t="shared" si="9"/>
        <v>0</v>
      </c>
      <c r="H29" s="1010"/>
      <c r="I29" s="1010"/>
      <c r="J29" s="862">
        <f>IF(D32&gt;=D33,D29,IF(E32&gt;=D33,E29,F29))</f>
        <v>0</v>
      </c>
      <c r="K29" s="902">
        <f t="shared" si="12"/>
        <v>0</v>
      </c>
      <c r="L29" s="864">
        <f t="shared" si="10"/>
        <v>0</v>
      </c>
      <c r="M29" s="896"/>
      <c r="N29" s="865">
        <f t="shared" si="13"/>
        <v>0</v>
      </c>
      <c r="O29" s="863">
        <f t="shared" si="14"/>
        <v>0</v>
      </c>
      <c r="P29" s="864">
        <f t="shared" si="11"/>
        <v>0</v>
      </c>
    </row>
    <row r="30" spans="2:16">
      <c r="B30" s="2077"/>
      <c r="C30" s="861" t="str">
        <f t="shared" si="6"/>
        <v>西</v>
      </c>
      <c r="D30" s="847">
        <f t="shared" si="9"/>
        <v>0</v>
      </c>
      <c r="E30" s="847">
        <f t="shared" si="9"/>
        <v>0</v>
      </c>
      <c r="F30" s="847">
        <f t="shared" si="9"/>
        <v>0</v>
      </c>
      <c r="G30" s="848">
        <f t="shared" si="9"/>
        <v>0</v>
      </c>
      <c r="H30" s="1010"/>
      <c r="I30" s="1010"/>
      <c r="J30" s="862">
        <f>IF(D32&gt;=D33,D30,IF(E32&gt;=D33,E30,F30))</f>
        <v>0</v>
      </c>
      <c r="K30" s="902">
        <f t="shared" si="12"/>
        <v>0</v>
      </c>
      <c r="L30" s="864">
        <f t="shared" si="10"/>
        <v>0</v>
      </c>
      <c r="M30" s="896"/>
      <c r="N30" s="865">
        <f t="shared" si="13"/>
        <v>0</v>
      </c>
      <c r="O30" s="863">
        <f t="shared" si="14"/>
        <v>0</v>
      </c>
      <c r="P30" s="864">
        <f t="shared" si="11"/>
        <v>0</v>
      </c>
    </row>
    <row r="31" spans="2:16" ht="13.5" thickBot="1">
      <c r="B31" s="2077"/>
      <c r="C31" s="867" t="str">
        <f t="shared" si="6"/>
        <v>北西</v>
      </c>
      <c r="D31" s="850">
        <f t="shared" si="9"/>
        <v>0</v>
      </c>
      <c r="E31" s="850">
        <f t="shared" si="9"/>
        <v>0</v>
      </c>
      <c r="F31" s="850">
        <f t="shared" si="9"/>
        <v>0</v>
      </c>
      <c r="G31" s="851">
        <f t="shared" si="9"/>
        <v>0</v>
      </c>
      <c r="H31" s="1010"/>
      <c r="I31" s="1010"/>
      <c r="J31" s="868">
        <f>IF(D32&gt;=D33,D31,IF(E32&gt;=D33,E31,F31))</f>
        <v>0</v>
      </c>
      <c r="K31" s="902">
        <f t="shared" si="12"/>
        <v>0</v>
      </c>
      <c r="L31" s="870">
        <f t="shared" si="10"/>
        <v>0</v>
      </c>
      <c r="M31" s="896"/>
      <c r="N31" s="865">
        <f t="shared" si="13"/>
        <v>0</v>
      </c>
      <c r="O31" s="863">
        <f t="shared" si="14"/>
        <v>0</v>
      </c>
      <c r="P31" s="870">
        <f t="shared" si="11"/>
        <v>0</v>
      </c>
    </row>
    <row r="32" spans="2:16" ht="13.5" thickBot="1">
      <c r="B32" s="2078"/>
      <c r="C32" s="871" t="str">
        <f t="shared" si="6"/>
        <v>合計</v>
      </c>
      <c r="D32" s="872">
        <f>SUM(D24:D31)</f>
        <v>0</v>
      </c>
      <c r="E32" s="872">
        <f t="shared" ref="E32:G32" si="15">SUM(E24:E31)</f>
        <v>0</v>
      </c>
      <c r="F32" s="872">
        <f t="shared" si="15"/>
        <v>0</v>
      </c>
      <c r="G32" s="873">
        <f t="shared" si="15"/>
        <v>0</v>
      </c>
      <c r="H32" s="1010"/>
      <c r="I32" s="1010"/>
      <c r="J32" s="874">
        <f>SUM(J24:J31)</f>
        <v>0</v>
      </c>
      <c r="K32" s="875"/>
      <c r="L32" s="876">
        <f>SUM(L24:L31)</f>
        <v>0</v>
      </c>
      <c r="M32" s="896"/>
      <c r="N32" s="874">
        <f>SUM(N24:N31)</f>
        <v>0</v>
      </c>
      <c r="O32" s="875"/>
      <c r="P32" s="876">
        <f>SUM(P24:P31)</f>
        <v>0</v>
      </c>
    </row>
    <row r="33" spans="2:30" ht="13.5" thickBot="1">
      <c r="B33" s="2079"/>
      <c r="C33" s="871" t="s">
        <v>1130</v>
      </c>
      <c r="D33" s="2081">
        <f>MAX(D32:F32)</f>
        <v>0</v>
      </c>
      <c r="E33" s="2082"/>
      <c r="F33" s="2083"/>
      <c r="G33" s="873">
        <f>G32</f>
        <v>0</v>
      </c>
      <c r="H33" s="894"/>
      <c r="I33" s="894"/>
      <c r="J33" s="894"/>
      <c r="K33" s="894"/>
      <c r="L33" s="894"/>
      <c r="M33" s="896"/>
      <c r="N33" s="896"/>
      <c r="O33" s="896"/>
      <c r="P33" s="897"/>
    </row>
    <row r="34" spans="2:30" s="897" customFormat="1">
      <c r="B34" s="893"/>
      <c r="C34" s="894"/>
      <c r="D34" s="895"/>
      <c r="E34" s="894"/>
      <c r="F34" s="894"/>
      <c r="G34" s="895"/>
      <c r="H34" s="894"/>
      <c r="I34" s="894"/>
      <c r="J34" s="894"/>
      <c r="K34" s="894"/>
      <c r="L34" s="894"/>
      <c r="M34" s="896"/>
      <c r="N34" s="896"/>
      <c r="O34" s="896"/>
    </row>
    <row r="35" spans="2:30" s="897" customFormat="1">
      <c r="B35" s="893"/>
      <c r="C35" s="894"/>
      <c r="D35" s="895"/>
      <c r="E35" s="894"/>
      <c r="F35" s="894"/>
      <c r="G35" s="895"/>
      <c r="H35" s="894"/>
      <c r="I35" s="894"/>
      <c r="J35" s="894"/>
      <c r="K35" s="894"/>
      <c r="L35" s="894"/>
      <c r="M35" s="896"/>
      <c r="N35" s="896"/>
      <c r="O35" s="896"/>
    </row>
    <row r="36" spans="2:30" s="897" customFormat="1">
      <c r="B36" s="893"/>
      <c r="C36" s="894"/>
      <c r="D36" s="895"/>
      <c r="E36" s="894"/>
      <c r="F36" s="894"/>
      <c r="G36" s="895"/>
      <c r="H36" s="894"/>
      <c r="I36" s="894"/>
      <c r="J36" s="894"/>
      <c r="K36" s="894"/>
      <c r="L36" s="894"/>
      <c r="M36" s="896"/>
      <c r="N36" s="896"/>
      <c r="O36" s="896"/>
    </row>
    <row r="37" spans="2:30" s="897" customFormat="1">
      <c r="B37" s="893"/>
      <c r="C37" s="894"/>
      <c r="D37" s="895"/>
      <c r="E37" s="894"/>
      <c r="F37" s="894"/>
      <c r="G37" s="895"/>
      <c r="H37" s="894"/>
      <c r="I37" s="894"/>
      <c r="J37" s="894"/>
      <c r="K37" s="894"/>
      <c r="L37" s="894"/>
      <c r="M37" s="896"/>
      <c r="N37" s="896"/>
      <c r="O37" s="896"/>
    </row>
    <row r="38" spans="2:30" s="897" customFormat="1">
      <c r="B38" s="893"/>
      <c r="C38" s="894"/>
      <c r="D38" s="895"/>
      <c r="E38" s="894"/>
      <c r="F38" s="894"/>
      <c r="G38" s="895"/>
      <c r="H38" s="894"/>
      <c r="I38" s="894"/>
      <c r="J38" s="894"/>
      <c r="K38" s="894"/>
      <c r="L38" s="894"/>
      <c r="M38" s="896"/>
      <c r="N38" s="896"/>
      <c r="O38" s="896"/>
    </row>
    <row r="39" spans="2:30" s="897" customFormat="1">
      <c r="B39" s="893"/>
      <c r="C39" s="894"/>
      <c r="D39" s="895"/>
      <c r="E39" s="894"/>
      <c r="F39" s="894"/>
      <c r="G39" s="895"/>
      <c r="H39" s="894"/>
      <c r="I39" s="894"/>
      <c r="J39" s="894"/>
      <c r="K39" s="894"/>
      <c r="L39" s="894"/>
      <c r="M39" s="896"/>
      <c r="N39" s="896"/>
      <c r="O39" s="896"/>
    </row>
    <row r="40" spans="2:30" s="897" customFormat="1">
      <c r="B40" s="893"/>
      <c r="C40" s="894"/>
      <c r="D40" s="895"/>
      <c r="E40" s="894"/>
      <c r="F40" s="894"/>
      <c r="G40" s="895"/>
      <c r="H40" s="894"/>
      <c r="I40" s="894"/>
      <c r="J40" s="894"/>
      <c r="K40" s="894"/>
      <c r="L40" s="894"/>
      <c r="M40" s="896"/>
      <c r="N40" s="896"/>
      <c r="O40" s="896"/>
    </row>
    <row r="41" spans="2:30" s="897" customFormat="1">
      <c r="B41" s="893"/>
      <c r="C41" s="894"/>
      <c r="D41" s="895"/>
      <c r="E41" s="894"/>
      <c r="F41" s="894"/>
      <c r="G41" s="895"/>
      <c r="H41" s="894"/>
      <c r="I41" s="894"/>
      <c r="J41" s="894"/>
      <c r="K41" s="894"/>
      <c r="L41" s="894"/>
      <c r="M41" s="896"/>
      <c r="N41" s="896"/>
      <c r="O41" s="896"/>
    </row>
    <row r="42" spans="2:30" s="897" customFormat="1">
      <c r="B42" s="893"/>
      <c r="C42" s="894"/>
      <c r="D42" s="895"/>
      <c r="E42" s="894"/>
      <c r="F42" s="894"/>
      <c r="G42" s="895"/>
      <c r="H42" s="894"/>
      <c r="I42" s="894"/>
      <c r="J42" s="894"/>
      <c r="K42" s="894"/>
      <c r="L42" s="894"/>
      <c r="M42" s="896"/>
      <c r="N42" s="896"/>
      <c r="O42" s="896"/>
    </row>
    <row r="43" spans="2:30" s="897" customFormat="1">
      <c r="B43" s="893"/>
      <c r="C43" s="894"/>
      <c r="D43" s="895"/>
      <c r="E43" s="894"/>
      <c r="F43" s="894"/>
      <c r="G43" s="895"/>
      <c r="H43" s="894"/>
      <c r="I43" s="894"/>
      <c r="J43" s="894"/>
      <c r="K43" s="894"/>
      <c r="L43" s="894"/>
      <c r="M43" s="896"/>
      <c r="N43" s="896"/>
      <c r="O43" s="896"/>
    </row>
    <row r="44" spans="2:30" s="897" customFormat="1">
      <c r="B44" s="893"/>
      <c r="C44" s="894"/>
      <c r="D44" s="895"/>
      <c r="E44" s="894"/>
      <c r="F44" s="894"/>
      <c r="G44" s="895"/>
      <c r="H44" s="894"/>
      <c r="I44" s="894"/>
      <c r="J44" s="894"/>
      <c r="K44" s="894"/>
      <c r="L44" s="894"/>
      <c r="M44" s="896"/>
      <c r="N44" s="896"/>
      <c r="O44" s="896"/>
    </row>
    <row r="45" spans="2:30">
      <c r="B45" s="2080" t="s">
        <v>183</v>
      </c>
      <c r="C45" s="2080"/>
      <c r="D45" s="2080"/>
      <c r="E45" s="2080"/>
      <c r="F45" s="2080"/>
      <c r="G45" s="2080"/>
      <c r="H45" s="2080"/>
      <c r="I45" s="2080"/>
      <c r="J45" s="2080"/>
      <c r="K45" s="2080"/>
      <c r="L45" s="2080"/>
      <c r="M45" s="2080"/>
      <c r="N45" s="2080"/>
      <c r="O45" s="2080"/>
    </row>
    <row r="46" spans="2:30" ht="36">
      <c r="B46" s="554" t="s">
        <v>0</v>
      </c>
      <c r="C46" s="814" t="s">
        <v>1117</v>
      </c>
      <c r="D46" s="814" t="s">
        <v>1118</v>
      </c>
      <c r="E46" s="814" t="s">
        <v>1116</v>
      </c>
      <c r="F46" s="20" t="s">
        <v>42</v>
      </c>
      <c r="G46" s="20" t="s">
        <v>43</v>
      </c>
      <c r="H46" s="18" t="s">
        <v>35</v>
      </c>
      <c r="I46" s="20" t="s">
        <v>36</v>
      </c>
      <c r="J46" s="20" t="s">
        <v>2</v>
      </c>
      <c r="K46" s="20" t="s">
        <v>3</v>
      </c>
      <c r="L46" s="20" t="s">
        <v>39</v>
      </c>
      <c r="M46" s="20" t="s">
        <v>38</v>
      </c>
      <c r="N46" s="20" t="s">
        <v>45</v>
      </c>
      <c r="O46" s="20" t="s">
        <v>44</v>
      </c>
      <c r="Q46" s="554" t="s">
        <v>0</v>
      </c>
      <c r="R46" s="1017" t="s">
        <v>1391</v>
      </c>
      <c r="S46" s="1017" t="s">
        <v>1392</v>
      </c>
      <c r="T46" s="1017" t="s">
        <v>1116</v>
      </c>
      <c r="U46" s="20" t="s">
        <v>42</v>
      </c>
      <c r="V46" s="20" t="s">
        <v>43</v>
      </c>
      <c r="W46" s="18" t="s">
        <v>566</v>
      </c>
      <c r="X46" s="20" t="s">
        <v>567</v>
      </c>
      <c r="Y46" s="20" t="s">
        <v>2</v>
      </c>
      <c r="Z46" s="20" t="s">
        <v>3</v>
      </c>
      <c r="AA46" s="20" t="s">
        <v>568</v>
      </c>
      <c r="AB46" s="20" t="s">
        <v>569</v>
      </c>
      <c r="AC46" s="20" t="s">
        <v>570</v>
      </c>
      <c r="AD46" s="20" t="s">
        <v>571</v>
      </c>
    </row>
    <row r="47" spans="2:30" ht="36">
      <c r="B47" s="554" t="s">
        <v>14</v>
      </c>
      <c r="C47" s="20" t="s">
        <v>16</v>
      </c>
      <c r="D47" s="20" t="s">
        <v>17</v>
      </c>
      <c r="E47" s="704" t="s">
        <v>18</v>
      </c>
      <c r="F47" s="20" t="s">
        <v>19</v>
      </c>
      <c r="G47" s="20" t="s">
        <v>20</v>
      </c>
      <c r="H47" s="20" t="s">
        <v>30</v>
      </c>
      <c r="I47" s="20" t="s">
        <v>29</v>
      </c>
      <c r="J47" s="20" t="s">
        <v>21</v>
      </c>
      <c r="K47" s="20" t="s">
        <v>22</v>
      </c>
      <c r="L47" s="688" t="s">
        <v>608</v>
      </c>
      <c r="M47" s="688" t="s">
        <v>607</v>
      </c>
      <c r="N47" s="555" t="s">
        <v>25</v>
      </c>
      <c r="O47" s="20" t="s">
        <v>32</v>
      </c>
      <c r="Q47" s="554" t="s">
        <v>14</v>
      </c>
      <c r="R47" s="20" t="s">
        <v>16</v>
      </c>
      <c r="S47" s="20" t="s">
        <v>17</v>
      </c>
      <c r="T47" s="704" t="s">
        <v>18</v>
      </c>
      <c r="U47" s="20" t="s">
        <v>19</v>
      </c>
      <c r="V47" s="20" t="s">
        <v>20</v>
      </c>
      <c r="W47" s="20" t="s">
        <v>30</v>
      </c>
      <c r="X47" s="20" t="s">
        <v>29</v>
      </c>
      <c r="Y47" s="20" t="s">
        <v>21</v>
      </c>
      <c r="Z47" s="20" t="s">
        <v>22</v>
      </c>
      <c r="AA47" s="688" t="s">
        <v>608</v>
      </c>
      <c r="AB47" s="688" t="s">
        <v>607</v>
      </c>
      <c r="AC47" s="555" t="s">
        <v>25</v>
      </c>
      <c r="AD47" s="20" t="s">
        <v>32</v>
      </c>
    </row>
    <row r="48" spans="2:30">
      <c r="B48" s="553" t="s">
        <v>15</v>
      </c>
      <c r="C48" s="835" t="s">
        <v>1115</v>
      </c>
      <c r="D48" s="835" t="s">
        <v>1115</v>
      </c>
      <c r="E48" s="835" t="s">
        <v>172</v>
      </c>
      <c r="F48" s="5" t="s">
        <v>10</v>
      </c>
      <c r="G48" s="5" t="s">
        <v>10</v>
      </c>
      <c r="H48" s="5" t="s">
        <v>11</v>
      </c>
      <c r="I48" s="5" t="s">
        <v>11</v>
      </c>
      <c r="J48" s="5" t="s">
        <v>10</v>
      </c>
      <c r="K48" s="5" t="s">
        <v>10</v>
      </c>
      <c r="L48" s="5" t="s">
        <v>11</v>
      </c>
      <c r="M48" s="5" t="s">
        <v>11</v>
      </c>
      <c r="N48" s="5" t="s">
        <v>11</v>
      </c>
      <c r="O48" s="553" t="s">
        <v>31</v>
      </c>
      <c r="Q48" s="553" t="s">
        <v>15</v>
      </c>
      <c r="R48" s="835" t="s">
        <v>1115</v>
      </c>
      <c r="S48" s="835" t="s">
        <v>1115</v>
      </c>
      <c r="T48" s="835" t="s">
        <v>172</v>
      </c>
      <c r="U48" s="5" t="s">
        <v>10</v>
      </c>
      <c r="V48" s="5" t="s">
        <v>10</v>
      </c>
      <c r="W48" s="5" t="s">
        <v>11</v>
      </c>
      <c r="X48" s="5" t="s">
        <v>11</v>
      </c>
      <c r="Y48" s="5" t="s">
        <v>10</v>
      </c>
      <c r="Z48" s="5" t="s">
        <v>10</v>
      </c>
      <c r="AA48" s="5" t="s">
        <v>11</v>
      </c>
      <c r="AB48" s="5" t="s">
        <v>11</v>
      </c>
      <c r="AC48" s="5" t="s">
        <v>11</v>
      </c>
      <c r="AD48" s="553" t="s">
        <v>31</v>
      </c>
    </row>
    <row r="49" spans="2:30">
      <c r="B49" s="553">
        <v>1</v>
      </c>
      <c r="C49" s="3"/>
      <c r="D49" s="836">
        <f>P32</f>
        <v>0</v>
      </c>
      <c r="E49" s="837">
        <f>温度条件他根拠!E21</f>
        <v>0</v>
      </c>
      <c r="F49" s="838">
        <v>0</v>
      </c>
      <c r="G49" s="839">
        <f>0.8*(温度条件他根拠!$D$10-温度条件他根拠!D8)/(温度条件他根拠!$D$10-温度条件他根拠!$D$8)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553">
        <v>1</v>
      </c>
      <c r="R49" s="3"/>
      <c r="S49" s="836">
        <f>P14</f>
        <v>0</v>
      </c>
      <c r="T49" s="837">
        <f>温度条件他根拠!E21</f>
        <v>0</v>
      </c>
      <c r="U49" s="838">
        <f>F49</f>
        <v>0</v>
      </c>
      <c r="V49" s="1001">
        <f>G49</f>
        <v>0.79999999999999993</v>
      </c>
      <c r="W49" s="7">
        <f t="shared" ref="W49:W60" si="17">$R$56*T49*U49/1000</f>
        <v>0</v>
      </c>
      <c r="X49" s="7">
        <f t="shared" ref="X49:X60" si="18">V49*T49*$S$49/1000</f>
        <v>0</v>
      </c>
      <c r="Y49" s="6">
        <f>温度条件他根拠!$C$61</f>
        <v>3.55</v>
      </c>
      <c r="Z49" s="6">
        <f>温度条件他根拠!$C$62</f>
        <v>3.95</v>
      </c>
      <c r="AA49" s="7">
        <f>W49/Y49</f>
        <v>0</v>
      </c>
      <c r="AB49" s="7">
        <f t="shared" ref="AA49:AB60" si="19">X49/Z49</f>
        <v>0</v>
      </c>
      <c r="AC49" s="13">
        <f>AA49+AB49</f>
        <v>0</v>
      </c>
      <c r="AD49" s="12">
        <f>AC49*0.495/1000</f>
        <v>0</v>
      </c>
    </row>
    <row r="50" spans="2:30">
      <c r="B50" s="553">
        <v>2</v>
      </c>
      <c r="C50" s="3"/>
      <c r="D50" s="3"/>
      <c r="E50" s="838">
        <f>E49</f>
        <v>0</v>
      </c>
      <c r="F50" s="838">
        <v>0</v>
      </c>
      <c r="G50" s="839">
        <f>0.8*(温度条件他根拠!$D$10--0.6)/(温度条件他根拠!$D$10-温度条件他根拠!$D$8)</f>
        <v>0.7665116279069768</v>
      </c>
      <c r="H50" s="7">
        <f t="shared" ref="H50:H60" si="20">$C$56*E50*F50/1000</f>
        <v>0</v>
      </c>
      <c r="I50" s="7">
        <f t="shared" ref="I50:I60" si="21">G50*E50*$D$49/1000</f>
        <v>0</v>
      </c>
      <c r="J50" s="6">
        <f>温度条件他根拠!$C$61</f>
        <v>3.55</v>
      </c>
      <c r="K50" s="6">
        <f>温度条件他根拠!$C$62</f>
        <v>3.95</v>
      </c>
      <c r="L50" s="7">
        <f t="shared" si="16"/>
        <v>0</v>
      </c>
      <c r="M50" s="7">
        <f t="shared" si="16"/>
        <v>0</v>
      </c>
      <c r="N50" s="13">
        <f t="shared" ref="N50:N60" si="22">L50+M50</f>
        <v>0</v>
      </c>
      <c r="O50" s="12">
        <f t="shared" ref="O50:O60" si="23">N50*0.495/1000</f>
        <v>0</v>
      </c>
      <c r="Q50" s="553">
        <v>2</v>
      </c>
      <c r="R50" s="3"/>
      <c r="S50" s="3"/>
      <c r="T50" s="838">
        <f>T49</f>
        <v>0</v>
      </c>
      <c r="U50" s="838">
        <f t="shared" ref="U50:V60" si="24">F50</f>
        <v>0</v>
      </c>
      <c r="V50" s="1001">
        <f t="shared" si="24"/>
        <v>0.7665116279069768</v>
      </c>
      <c r="W50" s="7">
        <f t="shared" si="17"/>
        <v>0</v>
      </c>
      <c r="X50" s="7">
        <f t="shared" si="18"/>
        <v>0</v>
      </c>
      <c r="Y50" s="6">
        <f>温度条件他根拠!$C$61</f>
        <v>3.55</v>
      </c>
      <c r="Z50" s="6">
        <f>温度条件他根拠!$C$62</f>
        <v>3.95</v>
      </c>
      <c r="AA50" s="7">
        <f t="shared" si="19"/>
        <v>0</v>
      </c>
      <c r="AB50" s="7">
        <f t="shared" si="19"/>
        <v>0</v>
      </c>
      <c r="AC50" s="13">
        <f t="shared" ref="AC50:AC60" si="25">AA50+AB50</f>
        <v>0</v>
      </c>
      <c r="AD50" s="12">
        <f t="shared" ref="AD50:AD60" si="26">AC50*0.495/1000</f>
        <v>0</v>
      </c>
    </row>
    <row r="51" spans="2:30">
      <c r="B51" s="553">
        <v>3</v>
      </c>
      <c r="C51" s="3"/>
      <c r="D51" s="3"/>
      <c r="E51" s="838">
        <f t="shared" ref="E51:E60" si="27">E50</f>
        <v>0</v>
      </c>
      <c r="F51" s="838">
        <v>0</v>
      </c>
      <c r="G51" s="839">
        <f>0.8*(温度条件他根拠!$D$10-2.8)/(温度条件他根拠!$D$10-温度条件他根拠!$D$8)</f>
        <v>0.64</v>
      </c>
      <c r="H51" s="7">
        <f t="shared" si="20"/>
        <v>0</v>
      </c>
      <c r="I51" s="7">
        <f t="shared" si="21"/>
        <v>0</v>
      </c>
      <c r="J51" s="6">
        <f>温度条件他根拠!$C$61</f>
        <v>3.55</v>
      </c>
      <c r="K51" s="6">
        <f>温度条件他根拠!$C$62</f>
        <v>3.95</v>
      </c>
      <c r="L51" s="7">
        <f t="shared" si="16"/>
        <v>0</v>
      </c>
      <c r="M51" s="7">
        <f t="shared" si="16"/>
        <v>0</v>
      </c>
      <c r="N51" s="13">
        <f t="shared" si="22"/>
        <v>0</v>
      </c>
      <c r="O51" s="12">
        <f t="shared" si="23"/>
        <v>0</v>
      </c>
      <c r="Q51" s="553">
        <v>3</v>
      </c>
      <c r="R51" s="3"/>
      <c r="S51" s="3"/>
      <c r="T51" s="838">
        <f t="shared" ref="T51:T60" si="28">T50</f>
        <v>0</v>
      </c>
      <c r="U51" s="838">
        <f t="shared" si="24"/>
        <v>0</v>
      </c>
      <c r="V51" s="1001">
        <f t="shared" si="24"/>
        <v>0.64</v>
      </c>
      <c r="W51" s="7">
        <f t="shared" si="17"/>
        <v>0</v>
      </c>
      <c r="X51" s="7">
        <f t="shared" si="18"/>
        <v>0</v>
      </c>
      <c r="Y51" s="6">
        <f>温度条件他根拠!$C$61</f>
        <v>3.55</v>
      </c>
      <c r="Z51" s="6">
        <f>温度条件他根拠!$C$62</f>
        <v>3.95</v>
      </c>
      <c r="AA51" s="7">
        <f t="shared" si="19"/>
        <v>0</v>
      </c>
      <c r="AB51" s="7">
        <f t="shared" si="19"/>
        <v>0</v>
      </c>
      <c r="AC51" s="13">
        <f t="shared" si="25"/>
        <v>0</v>
      </c>
      <c r="AD51" s="12">
        <f t="shared" si="26"/>
        <v>0</v>
      </c>
    </row>
    <row r="52" spans="2:30">
      <c r="B52" s="553">
        <v>4</v>
      </c>
      <c r="C52" s="3"/>
      <c r="D52" s="3"/>
      <c r="E52" s="838">
        <f t="shared" si="27"/>
        <v>0</v>
      </c>
      <c r="F52" s="838">
        <v>0</v>
      </c>
      <c r="G52" s="839">
        <f>0.8*(温度条件他根拠!$D$10-8.1)/(温度条件他根拠!$D$10-温度条件他根拠!$D$8)</f>
        <v>0.44279069767441864</v>
      </c>
      <c r="H52" s="7">
        <f t="shared" si="20"/>
        <v>0</v>
      </c>
      <c r="I52" s="7">
        <f t="shared" si="21"/>
        <v>0</v>
      </c>
      <c r="J52" s="6">
        <f>温度条件他根拠!$C$61</f>
        <v>3.55</v>
      </c>
      <c r="K52" s="6">
        <f>温度条件他根拠!$C$62</f>
        <v>3.95</v>
      </c>
      <c r="L52" s="7">
        <f t="shared" si="16"/>
        <v>0</v>
      </c>
      <c r="M52" s="7">
        <f t="shared" si="16"/>
        <v>0</v>
      </c>
      <c r="N52" s="13">
        <f t="shared" si="22"/>
        <v>0</v>
      </c>
      <c r="O52" s="12">
        <f t="shared" si="23"/>
        <v>0</v>
      </c>
      <c r="Q52" s="553">
        <v>4</v>
      </c>
      <c r="R52" s="3"/>
      <c r="S52" s="3"/>
      <c r="T52" s="838">
        <f t="shared" si="28"/>
        <v>0</v>
      </c>
      <c r="U52" s="838">
        <f t="shared" si="24"/>
        <v>0</v>
      </c>
      <c r="V52" s="1001">
        <f t="shared" si="24"/>
        <v>0.44279069767441864</v>
      </c>
      <c r="W52" s="7">
        <f t="shared" si="17"/>
        <v>0</v>
      </c>
      <c r="X52" s="7">
        <f t="shared" si="18"/>
        <v>0</v>
      </c>
      <c r="Y52" s="6">
        <f>温度条件他根拠!$C$61</f>
        <v>3.55</v>
      </c>
      <c r="Z52" s="6">
        <f>温度条件他根拠!$C$62</f>
        <v>3.95</v>
      </c>
      <c r="AA52" s="7">
        <f t="shared" si="19"/>
        <v>0</v>
      </c>
      <c r="AB52" s="7">
        <f t="shared" si="19"/>
        <v>0</v>
      </c>
      <c r="AC52" s="13">
        <f t="shared" si="25"/>
        <v>0</v>
      </c>
      <c r="AD52" s="12">
        <f t="shared" si="26"/>
        <v>0</v>
      </c>
    </row>
    <row r="53" spans="2:30">
      <c r="B53" s="553">
        <v>5</v>
      </c>
      <c r="C53" s="3"/>
      <c r="D53" s="3"/>
      <c r="E53" s="838">
        <f t="shared" si="27"/>
        <v>0</v>
      </c>
      <c r="F53" s="839">
        <f>0.175*(温度条件他根拠!$D$7-温度条件他根拠!$D$9)/(温度条件他根拠!$D$7-23.2)</f>
        <v>7.3795180722891554E-2</v>
      </c>
      <c r="G53" s="839">
        <f>0.2*(温度条件他根拠!$D$10-13.4)/(温度条件他根拠!$D$10-温度条件他根拠!$D$8)</f>
        <v>6.1395348837209304E-2</v>
      </c>
      <c r="H53" s="836">
        <f>$C$56*E53*F53/1000</f>
        <v>0</v>
      </c>
      <c r="I53" s="836">
        <f>G53*E53*$D$49/1000</f>
        <v>0</v>
      </c>
      <c r="J53" s="6">
        <f>温度条件他根拠!$C$61</f>
        <v>3.55</v>
      </c>
      <c r="K53" s="6">
        <f>温度条件他根拠!$C$62</f>
        <v>3.95</v>
      </c>
      <c r="L53" s="7">
        <f t="shared" si="16"/>
        <v>0</v>
      </c>
      <c r="M53" s="7">
        <f t="shared" si="16"/>
        <v>0</v>
      </c>
      <c r="N53" s="13">
        <f t="shared" si="22"/>
        <v>0</v>
      </c>
      <c r="O53" s="12">
        <f t="shared" si="23"/>
        <v>0</v>
      </c>
      <c r="Q53" s="553">
        <v>5</v>
      </c>
      <c r="R53" s="3"/>
      <c r="S53" s="3"/>
      <c r="T53" s="838">
        <f t="shared" si="28"/>
        <v>0</v>
      </c>
      <c r="U53" s="1001">
        <f t="shared" si="24"/>
        <v>7.3795180722891554E-2</v>
      </c>
      <c r="V53" s="1001">
        <f t="shared" si="24"/>
        <v>6.1395348837209304E-2</v>
      </c>
      <c r="W53" s="836">
        <f t="shared" si="17"/>
        <v>0</v>
      </c>
      <c r="X53" s="836">
        <f t="shared" si="18"/>
        <v>0</v>
      </c>
      <c r="Y53" s="6">
        <f>温度条件他根拠!$C$61</f>
        <v>3.55</v>
      </c>
      <c r="Z53" s="6">
        <f>温度条件他根拠!$C$62</f>
        <v>3.95</v>
      </c>
      <c r="AA53" s="7">
        <f t="shared" si="19"/>
        <v>0</v>
      </c>
      <c r="AB53" s="7">
        <f t="shared" si="19"/>
        <v>0</v>
      </c>
      <c r="AC53" s="13">
        <f t="shared" si="25"/>
        <v>0</v>
      </c>
      <c r="AD53" s="12">
        <f t="shared" si="26"/>
        <v>0</v>
      </c>
    </row>
    <row r="54" spans="2:30">
      <c r="B54" s="553">
        <v>6</v>
      </c>
      <c r="C54" s="3"/>
      <c r="D54" s="3"/>
      <c r="E54" s="838">
        <f t="shared" si="27"/>
        <v>0</v>
      </c>
      <c r="F54" s="839">
        <f>0.7*(温度条件他根拠!$D$7-温度条件他根拠!$D$9)/(温度条件他根拠!$D$7-26)</f>
        <v>0.44545454545454538</v>
      </c>
      <c r="G54" s="838">
        <v>0</v>
      </c>
      <c r="H54" s="7">
        <f t="shared" si="20"/>
        <v>0</v>
      </c>
      <c r="I54" s="7">
        <f t="shared" si="21"/>
        <v>0</v>
      </c>
      <c r="J54" s="6">
        <f>温度条件他根拠!$C$61</f>
        <v>3.55</v>
      </c>
      <c r="K54" s="6">
        <f>温度条件他根拠!$C$62</f>
        <v>3.95</v>
      </c>
      <c r="L54" s="7">
        <f t="shared" si="16"/>
        <v>0</v>
      </c>
      <c r="M54" s="7">
        <f t="shared" si="16"/>
        <v>0</v>
      </c>
      <c r="N54" s="13">
        <f t="shared" si="22"/>
        <v>0</v>
      </c>
      <c r="O54" s="12">
        <f t="shared" si="23"/>
        <v>0</v>
      </c>
      <c r="Q54" s="553">
        <v>6</v>
      </c>
      <c r="R54" s="3"/>
      <c r="S54" s="3"/>
      <c r="T54" s="838">
        <f t="shared" si="28"/>
        <v>0</v>
      </c>
      <c r="U54" s="1001">
        <f t="shared" si="24"/>
        <v>0.44545454545454538</v>
      </c>
      <c r="V54" s="838">
        <f t="shared" si="24"/>
        <v>0</v>
      </c>
      <c r="W54" s="7">
        <f t="shared" si="17"/>
        <v>0</v>
      </c>
      <c r="X54" s="7">
        <f t="shared" si="18"/>
        <v>0</v>
      </c>
      <c r="Y54" s="6">
        <f>温度条件他根拠!$C$61</f>
        <v>3.55</v>
      </c>
      <c r="Z54" s="6">
        <f>温度条件他根拠!$C$62</f>
        <v>3.95</v>
      </c>
      <c r="AA54" s="7">
        <f t="shared" si="19"/>
        <v>0</v>
      </c>
      <c r="AB54" s="7">
        <f t="shared" si="19"/>
        <v>0</v>
      </c>
      <c r="AC54" s="13">
        <f t="shared" si="25"/>
        <v>0</v>
      </c>
      <c r="AD54" s="12">
        <f t="shared" si="26"/>
        <v>0</v>
      </c>
    </row>
    <row r="55" spans="2:30">
      <c r="B55" s="553">
        <v>7</v>
      </c>
      <c r="C55" s="3"/>
      <c r="D55" s="3"/>
      <c r="E55" s="838">
        <f t="shared" si="27"/>
        <v>0</v>
      </c>
      <c r="F55" s="839">
        <f>0.7*(温度条件他根拠!$D$7-温度条件他根拠!$D$9)/(温度条件他根拠!$D$7-28)</f>
        <v>0.7</v>
      </c>
      <c r="G55" s="838">
        <v>0</v>
      </c>
      <c r="H55" s="7">
        <f t="shared" si="20"/>
        <v>0</v>
      </c>
      <c r="I55" s="7">
        <f t="shared" si="21"/>
        <v>0</v>
      </c>
      <c r="J55" s="6">
        <f>温度条件他根拠!$C$61</f>
        <v>3.55</v>
      </c>
      <c r="K55" s="6">
        <f>温度条件他根拠!$C$62</f>
        <v>3.95</v>
      </c>
      <c r="L55" s="7">
        <f t="shared" si="16"/>
        <v>0</v>
      </c>
      <c r="M55" s="7">
        <f t="shared" si="16"/>
        <v>0</v>
      </c>
      <c r="N55" s="13">
        <f t="shared" si="22"/>
        <v>0</v>
      </c>
      <c r="O55" s="12">
        <f t="shared" si="23"/>
        <v>0</v>
      </c>
      <c r="Q55" s="553">
        <v>7</v>
      </c>
      <c r="R55" s="3"/>
      <c r="S55" s="3"/>
      <c r="T55" s="838">
        <f t="shared" si="28"/>
        <v>0</v>
      </c>
      <c r="U55" s="1001">
        <f t="shared" si="24"/>
        <v>0.7</v>
      </c>
      <c r="V55" s="838">
        <f t="shared" si="24"/>
        <v>0</v>
      </c>
      <c r="W55" s="7">
        <f t="shared" si="17"/>
        <v>0</v>
      </c>
      <c r="X55" s="7">
        <f t="shared" si="18"/>
        <v>0</v>
      </c>
      <c r="Y55" s="6">
        <f>温度条件他根拠!$C$61</f>
        <v>3.55</v>
      </c>
      <c r="Z55" s="6">
        <f>温度条件他根拠!$C$62</f>
        <v>3.95</v>
      </c>
      <c r="AA55" s="7">
        <f t="shared" si="19"/>
        <v>0</v>
      </c>
      <c r="AB55" s="7">
        <f t="shared" si="19"/>
        <v>0</v>
      </c>
      <c r="AC55" s="13">
        <f t="shared" si="25"/>
        <v>0</v>
      </c>
      <c r="AD55" s="12">
        <f t="shared" si="26"/>
        <v>0</v>
      </c>
    </row>
    <row r="56" spans="2:30">
      <c r="B56" s="553">
        <v>8</v>
      </c>
      <c r="C56" s="836">
        <f>L32</f>
        <v>0</v>
      </c>
      <c r="D56" s="3"/>
      <c r="E56" s="838">
        <f t="shared" si="27"/>
        <v>0</v>
      </c>
      <c r="F56" s="839">
        <f>0.7*(温度条件他根拠!$D$7-温度条件他根拠!$D$9)/(温度条件他根拠!$D$7-28)</f>
        <v>0.7</v>
      </c>
      <c r="G56" s="838">
        <v>0</v>
      </c>
      <c r="H56" s="7">
        <f>$C$56*E56*F56/1000</f>
        <v>0</v>
      </c>
      <c r="I56" s="7">
        <f t="shared" si="21"/>
        <v>0</v>
      </c>
      <c r="J56" s="6">
        <f>温度条件他根拠!$C$61</f>
        <v>3.55</v>
      </c>
      <c r="K56" s="6">
        <f>温度条件他根拠!$C$62</f>
        <v>3.95</v>
      </c>
      <c r="L56" s="7">
        <f t="shared" si="16"/>
        <v>0</v>
      </c>
      <c r="M56" s="7">
        <f t="shared" si="16"/>
        <v>0</v>
      </c>
      <c r="N56" s="13">
        <f t="shared" si="22"/>
        <v>0</v>
      </c>
      <c r="O56" s="12">
        <f t="shared" si="23"/>
        <v>0</v>
      </c>
      <c r="Q56" s="553">
        <v>8</v>
      </c>
      <c r="R56" s="836">
        <f>L14</f>
        <v>0</v>
      </c>
      <c r="S56" s="3"/>
      <c r="T56" s="838">
        <f t="shared" si="28"/>
        <v>0</v>
      </c>
      <c r="U56" s="1001">
        <f t="shared" si="24"/>
        <v>0.7</v>
      </c>
      <c r="V56" s="838">
        <f t="shared" si="24"/>
        <v>0</v>
      </c>
      <c r="W56" s="7">
        <f t="shared" si="17"/>
        <v>0</v>
      </c>
      <c r="X56" s="7">
        <f t="shared" si="18"/>
        <v>0</v>
      </c>
      <c r="Y56" s="6">
        <f>温度条件他根拠!$C$61</f>
        <v>3.55</v>
      </c>
      <c r="Z56" s="6">
        <f>温度条件他根拠!$C$62</f>
        <v>3.95</v>
      </c>
      <c r="AA56" s="7">
        <f t="shared" si="19"/>
        <v>0</v>
      </c>
      <c r="AB56" s="7">
        <f t="shared" si="19"/>
        <v>0</v>
      </c>
      <c r="AC56" s="13">
        <f t="shared" si="25"/>
        <v>0</v>
      </c>
      <c r="AD56" s="12">
        <f t="shared" si="26"/>
        <v>0</v>
      </c>
    </row>
    <row r="57" spans="2:30">
      <c r="B57" s="553">
        <v>9</v>
      </c>
      <c r="C57" s="3"/>
      <c r="D57" s="3"/>
      <c r="E57" s="838">
        <f t="shared" si="27"/>
        <v>0</v>
      </c>
      <c r="F57" s="839">
        <f>0.7*(温度条件他根拠!$D$7-温度条件他根拠!$D$9)/(温度条件他根拠!$D$7-27.1)</f>
        <v>0.55681818181818199</v>
      </c>
      <c r="G57" s="838">
        <v>0</v>
      </c>
      <c r="H57" s="7">
        <f t="shared" si="20"/>
        <v>0</v>
      </c>
      <c r="I57" s="7">
        <f t="shared" si="21"/>
        <v>0</v>
      </c>
      <c r="J57" s="6">
        <f>温度条件他根拠!$C$61</f>
        <v>3.55</v>
      </c>
      <c r="K57" s="6">
        <f>温度条件他根拠!$C$62</f>
        <v>3.95</v>
      </c>
      <c r="L57" s="7">
        <f t="shared" si="16"/>
        <v>0</v>
      </c>
      <c r="M57" s="7">
        <f t="shared" si="16"/>
        <v>0</v>
      </c>
      <c r="N57" s="13">
        <f t="shared" si="22"/>
        <v>0</v>
      </c>
      <c r="O57" s="12">
        <f t="shared" si="23"/>
        <v>0</v>
      </c>
      <c r="Q57" s="553">
        <v>9</v>
      </c>
      <c r="R57" s="3"/>
      <c r="S57" s="3"/>
      <c r="T57" s="838">
        <f t="shared" si="28"/>
        <v>0</v>
      </c>
      <c r="U57" s="1001">
        <f t="shared" si="24"/>
        <v>0.55681818181818199</v>
      </c>
      <c r="V57" s="838">
        <f t="shared" si="24"/>
        <v>0</v>
      </c>
      <c r="W57" s="7">
        <f t="shared" si="17"/>
        <v>0</v>
      </c>
      <c r="X57" s="7">
        <f t="shared" si="18"/>
        <v>0</v>
      </c>
      <c r="Y57" s="6">
        <f>温度条件他根拠!$C$61</f>
        <v>3.55</v>
      </c>
      <c r="Z57" s="6">
        <f>温度条件他根拠!$C$62</f>
        <v>3.95</v>
      </c>
      <c r="AA57" s="7">
        <f t="shared" si="19"/>
        <v>0</v>
      </c>
      <c r="AB57" s="7">
        <f t="shared" si="19"/>
        <v>0</v>
      </c>
      <c r="AC57" s="13">
        <f t="shared" si="25"/>
        <v>0</v>
      </c>
      <c r="AD57" s="12">
        <f t="shared" si="26"/>
        <v>0</v>
      </c>
    </row>
    <row r="58" spans="2:30">
      <c r="B58" s="553">
        <v>10</v>
      </c>
      <c r="C58" s="3"/>
      <c r="D58" s="3"/>
      <c r="E58" s="838">
        <f t="shared" si="27"/>
        <v>0</v>
      </c>
      <c r="F58" s="839">
        <f>0.175*(温度条件他根拠!$D$7-温度条件他根拠!$D$9)/(温度条件他根拠!$D$7-21.6)</f>
        <v>6.1868686868686872E-2</v>
      </c>
      <c r="G58" s="839">
        <f>0.2*(温度条件他根拠!$D$10-12.8)/(温度条件他根拠!$D$10-温度条件他根拠!$D$8)</f>
        <v>6.6976744186046502E-2</v>
      </c>
      <c r="H58" s="836">
        <f>$C$56*E58*F58/1000</f>
        <v>0</v>
      </c>
      <c r="I58" s="836">
        <f>G58*E58*$D$49/1000</f>
        <v>0</v>
      </c>
      <c r="J58" s="6">
        <f>温度条件他根拠!$C$61</f>
        <v>3.55</v>
      </c>
      <c r="K58" s="6">
        <f>温度条件他根拠!$C$62</f>
        <v>3.95</v>
      </c>
      <c r="L58" s="7">
        <f t="shared" si="16"/>
        <v>0</v>
      </c>
      <c r="M58" s="7">
        <f t="shared" si="16"/>
        <v>0</v>
      </c>
      <c r="N58" s="13">
        <f t="shared" si="22"/>
        <v>0</v>
      </c>
      <c r="O58" s="12">
        <f t="shared" si="23"/>
        <v>0</v>
      </c>
      <c r="Q58" s="553">
        <v>10</v>
      </c>
      <c r="R58" s="3"/>
      <c r="S58" s="3"/>
      <c r="T58" s="838">
        <f t="shared" si="28"/>
        <v>0</v>
      </c>
      <c r="U58" s="1001">
        <f t="shared" si="24"/>
        <v>6.1868686868686872E-2</v>
      </c>
      <c r="V58" s="1001">
        <f t="shared" si="24"/>
        <v>6.6976744186046502E-2</v>
      </c>
      <c r="W58" s="836">
        <f t="shared" si="17"/>
        <v>0</v>
      </c>
      <c r="X58" s="836">
        <f t="shared" si="18"/>
        <v>0</v>
      </c>
      <c r="Y58" s="6">
        <f>温度条件他根拠!$C$61</f>
        <v>3.55</v>
      </c>
      <c r="Z58" s="6">
        <f>温度条件他根拠!$C$62</f>
        <v>3.95</v>
      </c>
      <c r="AA58" s="7">
        <f t="shared" si="19"/>
        <v>0</v>
      </c>
      <c r="AB58" s="7">
        <f t="shared" si="19"/>
        <v>0</v>
      </c>
      <c r="AC58" s="13">
        <f t="shared" si="25"/>
        <v>0</v>
      </c>
      <c r="AD58" s="12">
        <f t="shared" si="26"/>
        <v>0</v>
      </c>
    </row>
    <row r="59" spans="2:30">
      <c r="B59" s="553">
        <v>11</v>
      </c>
      <c r="C59" s="3"/>
      <c r="D59" s="3"/>
      <c r="E59" s="838">
        <f t="shared" si="27"/>
        <v>0</v>
      </c>
      <c r="F59" s="838">
        <v>0</v>
      </c>
      <c r="G59" s="839">
        <f>0.8*(温度条件他根拠!$D$10-6.2)/(温度条件他根拠!$D$10-温度条件他根拠!$D$8)</f>
        <v>0.51348837209302334</v>
      </c>
      <c r="H59" s="7">
        <f t="shared" si="20"/>
        <v>0</v>
      </c>
      <c r="I59" s="7">
        <f t="shared" si="21"/>
        <v>0</v>
      </c>
      <c r="J59" s="6">
        <f>温度条件他根拠!$C$61</f>
        <v>3.55</v>
      </c>
      <c r="K59" s="6">
        <f>温度条件他根拠!$C$62</f>
        <v>3.95</v>
      </c>
      <c r="L59" s="7">
        <f t="shared" si="16"/>
        <v>0</v>
      </c>
      <c r="M59" s="7">
        <f t="shared" si="16"/>
        <v>0</v>
      </c>
      <c r="N59" s="13">
        <f t="shared" si="22"/>
        <v>0</v>
      </c>
      <c r="O59" s="12">
        <f t="shared" si="23"/>
        <v>0</v>
      </c>
      <c r="Q59" s="553">
        <v>11</v>
      </c>
      <c r="R59" s="3"/>
      <c r="S59" s="3"/>
      <c r="T59" s="838">
        <f t="shared" si="28"/>
        <v>0</v>
      </c>
      <c r="U59" s="838">
        <f t="shared" si="24"/>
        <v>0</v>
      </c>
      <c r="V59" s="1001">
        <f t="shared" si="24"/>
        <v>0.51348837209302334</v>
      </c>
      <c r="W59" s="7">
        <f t="shared" si="17"/>
        <v>0</v>
      </c>
      <c r="X59" s="7">
        <f t="shared" si="18"/>
        <v>0</v>
      </c>
      <c r="Y59" s="6">
        <f>温度条件他根拠!$C$61</f>
        <v>3.55</v>
      </c>
      <c r="Z59" s="6">
        <f>温度条件他根拠!$C$62</f>
        <v>3.95</v>
      </c>
      <c r="AA59" s="7">
        <f t="shared" si="19"/>
        <v>0</v>
      </c>
      <c r="AB59" s="7">
        <f t="shared" si="19"/>
        <v>0</v>
      </c>
      <c r="AC59" s="13">
        <f t="shared" si="25"/>
        <v>0</v>
      </c>
      <c r="AD59" s="12">
        <f t="shared" si="26"/>
        <v>0</v>
      </c>
    </row>
    <row r="60" spans="2:30">
      <c r="B60" s="553">
        <v>12</v>
      </c>
      <c r="C60" s="3"/>
      <c r="D60" s="3"/>
      <c r="E60" s="838">
        <f t="shared" si="27"/>
        <v>0</v>
      </c>
      <c r="F60" s="838">
        <v>0</v>
      </c>
      <c r="G60" s="839">
        <f>0.8*(温度条件他根拠!$D$10-0.8)/(温度条件他根拠!$D$10-温度条件他根拠!$D$8)</f>
        <v>0.7144186046511628</v>
      </c>
      <c r="H60" s="7">
        <f t="shared" si="20"/>
        <v>0</v>
      </c>
      <c r="I60" s="7">
        <f t="shared" si="21"/>
        <v>0</v>
      </c>
      <c r="J60" s="6">
        <f>温度条件他根拠!$C$61</f>
        <v>3.55</v>
      </c>
      <c r="K60" s="6">
        <f>温度条件他根拠!$C$62</f>
        <v>3.95</v>
      </c>
      <c r="L60" s="7">
        <f t="shared" si="16"/>
        <v>0</v>
      </c>
      <c r="M60" s="7">
        <f t="shared" si="16"/>
        <v>0</v>
      </c>
      <c r="N60" s="13">
        <f t="shared" si="22"/>
        <v>0</v>
      </c>
      <c r="O60" s="12">
        <f t="shared" si="23"/>
        <v>0</v>
      </c>
      <c r="Q60" s="553">
        <v>12</v>
      </c>
      <c r="R60" s="3"/>
      <c r="S60" s="3"/>
      <c r="T60" s="838">
        <f t="shared" si="28"/>
        <v>0</v>
      </c>
      <c r="U60" s="838">
        <f t="shared" si="24"/>
        <v>0</v>
      </c>
      <c r="V60" s="1001">
        <f t="shared" si="24"/>
        <v>0.7144186046511628</v>
      </c>
      <c r="W60" s="7">
        <f t="shared" si="17"/>
        <v>0</v>
      </c>
      <c r="X60" s="7">
        <f t="shared" si="18"/>
        <v>0</v>
      </c>
      <c r="Y60" s="6">
        <f>温度条件他根拠!$C$61</f>
        <v>3.55</v>
      </c>
      <c r="Z60" s="6">
        <f>温度条件他根拠!$C$62</f>
        <v>3.95</v>
      </c>
      <c r="AA60" s="7">
        <f t="shared" si="19"/>
        <v>0</v>
      </c>
      <c r="AB60" s="7">
        <f t="shared" si="19"/>
        <v>0</v>
      </c>
      <c r="AC60" s="13">
        <f t="shared" si="25"/>
        <v>0</v>
      </c>
      <c r="AD60" s="12">
        <f t="shared" si="26"/>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1079</v>
      </c>
    </row>
    <row r="86" spans="2:3">
      <c r="B86" s="691">
        <v>43927</v>
      </c>
      <c r="C86" s="900" t="s">
        <v>865</v>
      </c>
    </row>
    <row r="87" spans="2:3">
      <c r="B87" s="691">
        <v>43927</v>
      </c>
      <c r="C87" s="690" t="s">
        <v>866</v>
      </c>
    </row>
    <row r="88" spans="2:3">
      <c r="B88" s="691">
        <v>44634</v>
      </c>
      <c r="C88" s="690" t="s">
        <v>1119</v>
      </c>
    </row>
    <row r="89" spans="2:3">
      <c r="C89" s="690" t="s">
        <v>1120</v>
      </c>
    </row>
    <row r="90" spans="2:3">
      <c r="C90" s="1" t="s">
        <v>1121</v>
      </c>
    </row>
    <row r="91" spans="2:3">
      <c r="C91" s="1" t="s">
        <v>1133</v>
      </c>
    </row>
    <row r="92" spans="2:3">
      <c r="C92" s="1" t="s">
        <v>1134</v>
      </c>
    </row>
  </sheetData>
  <mergeCells count="20">
    <mergeCell ref="B24:B33"/>
    <mergeCell ref="D33:F33"/>
    <mergeCell ref="B45:O45"/>
    <mergeCell ref="J16:J22"/>
    <mergeCell ref="K16:K23"/>
    <mergeCell ref="L16:L23"/>
    <mergeCell ref="N16:N22"/>
    <mergeCell ref="O16:O23"/>
    <mergeCell ref="P16:P23"/>
    <mergeCell ref="B4:C5"/>
    <mergeCell ref="D4:F4"/>
    <mergeCell ref="G4:G5"/>
    <mergeCell ref="B6:B14"/>
    <mergeCell ref="J3:J5"/>
    <mergeCell ref="B15:B23"/>
    <mergeCell ref="K3:K5"/>
    <mergeCell ref="L3:L5"/>
    <mergeCell ref="N3:N5"/>
    <mergeCell ref="O3:O5"/>
    <mergeCell ref="P3:P5"/>
  </mergeCells>
  <phoneticPr fontId="2"/>
  <pageMargins left="0" right="0" top="0.55118110236220474" bottom="0.15748031496062992" header="0.11811023622047245" footer="0"/>
  <pageSetup paperSize="9" orientation="landscape" r:id="rId1"/>
  <ignoredErrors>
    <ignoredError sqref="W49" evalError="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B1:AD43"/>
  <sheetViews>
    <sheetView workbookViewId="0">
      <selection activeCell="C67" sqref="C67"/>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30">
      <c r="B1" s="155">
        <f>温度条件他根拠!E6</f>
        <v>2</v>
      </c>
      <c r="C1" s="81"/>
      <c r="D1" s="81"/>
      <c r="E1" s="81"/>
      <c r="F1" s="81"/>
      <c r="G1" s="81"/>
      <c r="H1" s="81"/>
      <c r="I1" s="81"/>
      <c r="J1" s="81"/>
      <c r="K1" s="81"/>
      <c r="L1" s="81"/>
      <c r="M1" s="81"/>
      <c r="N1" s="81"/>
      <c r="O1" s="81"/>
    </row>
    <row r="2" spans="2:30">
      <c r="B2" s="1129" t="s">
        <v>183</v>
      </c>
      <c r="C2" s="1129"/>
      <c r="D2" s="1129"/>
      <c r="E2" s="1129"/>
      <c r="F2" s="1129"/>
      <c r="G2" s="1129"/>
      <c r="H2" s="1129"/>
      <c r="I2" s="1129"/>
      <c r="J2" s="1129"/>
      <c r="K2" s="1129"/>
      <c r="L2" s="1129"/>
      <c r="M2" s="1129"/>
      <c r="N2" s="1129"/>
      <c r="O2" s="1129"/>
    </row>
    <row r="3" spans="2:30" ht="36">
      <c r="B3" s="19" t="s">
        <v>0</v>
      </c>
      <c r="C3" s="20" t="s">
        <v>40</v>
      </c>
      <c r="D3" s="20" t="s">
        <v>41</v>
      </c>
      <c r="E3" s="20" t="s">
        <v>8</v>
      </c>
      <c r="F3" s="20" t="s">
        <v>42</v>
      </c>
      <c r="G3" s="20" t="s">
        <v>43</v>
      </c>
      <c r="H3" s="18" t="s">
        <v>35</v>
      </c>
      <c r="I3" s="18" t="s">
        <v>36</v>
      </c>
      <c r="J3" s="20" t="s">
        <v>2</v>
      </c>
      <c r="K3" s="20" t="s">
        <v>3</v>
      </c>
      <c r="L3" s="20" t="s">
        <v>39</v>
      </c>
      <c r="M3" s="20" t="s">
        <v>38</v>
      </c>
      <c r="N3" s="20" t="s">
        <v>45</v>
      </c>
      <c r="O3" s="20" t="s">
        <v>44</v>
      </c>
      <c r="Q3" s="288" t="s">
        <v>0</v>
      </c>
      <c r="R3" s="20" t="s">
        <v>564</v>
      </c>
      <c r="S3" s="20" t="s">
        <v>565</v>
      </c>
      <c r="T3" s="20" t="s">
        <v>8</v>
      </c>
      <c r="U3" s="20" t="s">
        <v>42</v>
      </c>
      <c r="V3" s="20" t="s">
        <v>43</v>
      </c>
      <c r="W3" s="18" t="s">
        <v>566</v>
      </c>
      <c r="X3" s="20" t="s">
        <v>567</v>
      </c>
      <c r="Y3" s="20" t="s">
        <v>2</v>
      </c>
      <c r="Z3" s="20" t="s">
        <v>3</v>
      </c>
      <c r="AA3" s="20" t="s">
        <v>568</v>
      </c>
      <c r="AB3" s="20" t="s">
        <v>569</v>
      </c>
      <c r="AC3" s="20" t="s">
        <v>570</v>
      </c>
      <c r="AD3" s="20" t="s">
        <v>571</v>
      </c>
    </row>
    <row r="4" spans="2:30" ht="36">
      <c r="B4" s="19" t="s">
        <v>14</v>
      </c>
      <c r="C4" s="20" t="s">
        <v>16</v>
      </c>
      <c r="D4" s="20" t="s">
        <v>17</v>
      </c>
      <c r="E4" s="20" t="s">
        <v>18</v>
      </c>
      <c r="F4" s="20" t="s">
        <v>19</v>
      </c>
      <c r="G4" s="20" t="s">
        <v>20</v>
      </c>
      <c r="H4" s="20" t="s">
        <v>30</v>
      </c>
      <c r="I4" s="20" t="s">
        <v>29</v>
      </c>
      <c r="J4" s="20" t="s">
        <v>21</v>
      </c>
      <c r="K4" s="20" t="s">
        <v>22</v>
      </c>
      <c r="L4" s="20" t="s">
        <v>608</v>
      </c>
      <c r="M4" s="20" t="s">
        <v>607</v>
      </c>
      <c r="N4" s="21" t="s">
        <v>25</v>
      </c>
      <c r="O4" s="20" t="s">
        <v>32</v>
      </c>
      <c r="Q4" s="288" t="s">
        <v>14</v>
      </c>
      <c r="R4" s="20" t="s">
        <v>16</v>
      </c>
      <c r="S4" s="20" t="s">
        <v>17</v>
      </c>
      <c r="T4" s="20" t="s">
        <v>18</v>
      </c>
      <c r="U4" s="20" t="s">
        <v>19</v>
      </c>
      <c r="V4" s="20" t="s">
        <v>20</v>
      </c>
      <c r="W4" s="20" t="s">
        <v>30</v>
      </c>
      <c r="X4" s="20" t="s">
        <v>29</v>
      </c>
      <c r="Y4" s="20" t="s">
        <v>21</v>
      </c>
      <c r="Z4" s="20" t="s">
        <v>22</v>
      </c>
      <c r="AA4" s="20" t="s">
        <v>608</v>
      </c>
      <c r="AB4" s="20" t="s">
        <v>607</v>
      </c>
      <c r="AC4" s="289" t="s">
        <v>25</v>
      </c>
      <c r="AD4" s="20" t="s">
        <v>32</v>
      </c>
    </row>
    <row r="5" spans="2:30">
      <c r="B5" s="4" t="s">
        <v>15</v>
      </c>
      <c r="C5" s="5" t="s">
        <v>12</v>
      </c>
      <c r="D5" s="5" t="s">
        <v>12</v>
      </c>
      <c r="E5" s="5" t="s">
        <v>9</v>
      </c>
      <c r="F5" s="5" t="s">
        <v>10</v>
      </c>
      <c r="G5" s="5" t="s">
        <v>10</v>
      </c>
      <c r="H5" s="5" t="s">
        <v>11</v>
      </c>
      <c r="I5" s="5" t="s">
        <v>11</v>
      </c>
      <c r="J5" s="5" t="s">
        <v>10</v>
      </c>
      <c r="K5" s="5" t="s">
        <v>10</v>
      </c>
      <c r="L5" s="5" t="s">
        <v>11</v>
      </c>
      <c r="M5" s="5" t="s">
        <v>11</v>
      </c>
      <c r="N5" s="5" t="s">
        <v>11</v>
      </c>
      <c r="O5" s="4" t="s">
        <v>31</v>
      </c>
      <c r="Q5" s="287" t="s">
        <v>15</v>
      </c>
      <c r="R5" s="5" t="s">
        <v>12</v>
      </c>
      <c r="S5" s="5" t="s">
        <v>12</v>
      </c>
      <c r="T5" s="5" t="s">
        <v>9</v>
      </c>
      <c r="U5" s="5" t="s">
        <v>10</v>
      </c>
      <c r="V5" s="5" t="s">
        <v>10</v>
      </c>
      <c r="W5" s="5" t="s">
        <v>11</v>
      </c>
      <c r="X5" s="5" t="s">
        <v>11</v>
      </c>
      <c r="Y5" s="5" t="s">
        <v>10</v>
      </c>
      <c r="Z5" s="5" t="s">
        <v>10</v>
      </c>
      <c r="AA5" s="5" t="s">
        <v>11</v>
      </c>
      <c r="AB5" s="5" t="s">
        <v>11</v>
      </c>
      <c r="AC5" s="5" t="s">
        <v>11</v>
      </c>
      <c r="AD5" s="287" t="s">
        <v>31</v>
      </c>
    </row>
    <row r="6" spans="2:30">
      <c r="B6" s="4">
        <v>1</v>
      </c>
      <c r="C6" s="3"/>
      <c r="D6" s="7">
        <f>結果!M112</f>
        <v>0</v>
      </c>
      <c r="E6" s="2">
        <f>温度条件他根拠!E21*温度条件他根拠!E22</f>
        <v>0</v>
      </c>
      <c r="F6" s="2">
        <v>0</v>
      </c>
      <c r="G6" s="6">
        <f>(温度条件他根拠!$E$10-温度条件他根拠!E8)/(温度条件他根拠!$E$10-温度条件他根拠!$E$8)</f>
        <v>1</v>
      </c>
      <c r="H6" s="7">
        <f>$C$13*E6*F6/1000</f>
        <v>0</v>
      </c>
      <c r="I6" s="7">
        <f>G6*E6*$D$6/1000</f>
        <v>0</v>
      </c>
      <c r="J6" s="6">
        <f>温度条件他根拠!C61</f>
        <v>3.55</v>
      </c>
      <c r="K6" s="6">
        <f>温度条件他根拠!C62</f>
        <v>3.95</v>
      </c>
      <c r="L6" s="7">
        <f t="shared" ref="L6:L17" si="0">H6/J6</f>
        <v>0</v>
      </c>
      <c r="M6" s="7">
        <f t="shared" ref="M6:M17" si="1">I6/K6</f>
        <v>0</v>
      </c>
      <c r="N6" s="13">
        <f>L6+M6</f>
        <v>0</v>
      </c>
      <c r="O6" s="12">
        <f>N6*0.495/1000</f>
        <v>0</v>
      </c>
      <c r="Q6" s="287">
        <v>1</v>
      </c>
      <c r="R6" s="3"/>
      <c r="S6" s="7">
        <f>結果!Q113</f>
        <v>0</v>
      </c>
      <c r="T6" s="2">
        <f>温度条件他根拠!E21*温度条件他根拠!E22</f>
        <v>0</v>
      </c>
      <c r="U6" s="2">
        <v>0</v>
      </c>
      <c r="V6" s="6">
        <f>(温度条件他根拠!$E$10-温度条件他根拠!T8)/(温度条件他根拠!$E$10-温度条件他根拠!$E$8)</f>
        <v>0.96618357487922713</v>
      </c>
      <c r="W6" s="7">
        <f>$R$13*T6*U6/1000</f>
        <v>0</v>
      </c>
      <c r="X6" s="7">
        <f>V6*T6*$S$6/1000</f>
        <v>0</v>
      </c>
      <c r="Y6" s="6">
        <f>温度条件他根拠!$C$61</f>
        <v>3.55</v>
      </c>
      <c r="Z6" s="6">
        <f>温度条件他根拠!$C$62</f>
        <v>3.95</v>
      </c>
      <c r="AA6" s="7">
        <f t="shared" ref="AA6:AA17" si="2">W6/Y6</f>
        <v>0</v>
      </c>
      <c r="AB6" s="7">
        <f t="shared" ref="AB6:AB17" si="3">X6/Z6</f>
        <v>0</v>
      </c>
      <c r="AC6" s="13">
        <f>AA6+AB6</f>
        <v>0</v>
      </c>
      <c r="AD6" s="12">
        <f>AC6*0.495/1000</f>
        <v>0</v>
      </c>
    </row>
    <row r="7" spans="2:30">
      <c r="B7" s="4">
        <v>2</v>
      </c>
      <c r="C7" s="3"/>
      <c r="D7" s="3"/>
      <c r="E7" s="2">
        <f>E6</f>
        <v>0</v>
      </c>
      <c r="F7" s="2">
        <v>0</v>
      </c>
      <c r="G7" s="6">
        <f>(温度条件他根拠!$E$10-0)/(温度条件他根拠!$E$10-温度条件他根拠!$E$8)</f>
        <v>0.96618357487922713</v>
      </c>
      <c r="H7" s="7">
        <f t="shared" ref="H7:H17" si="4">$C$13*E7*F7/1000</f>
        <v>0</v>
      </c>
      <c r="I7" s="7">
        <f t="shared" ref="I7:I17" si="5">G7*E7*$D$6/1000</f>
        <v>0</v>
      </c>
      <c r="J7" s="2">
        <f>J6</f>
        <v>3.55</v>
      </c>
      <c r="K7" s="6">
        <f>K6</f>
        <v>3.95</v>
      </c>
      <c r="L7" s="7">
        <f t="shared" si="0"/>
        <v>0</v>
      </c>
      <c r="M7" s="7">
        <f t="shared" si="1"/>
        <v>0</v>
      </c>
      <c r="N7" s="13">
        <f t="shared" ref="N7:N17" si="6">L7+M7</f>
        <v>0</v>
      </c>
      <c r="O7" s="12">
        <f t="shared" ref="O7:O17" si="7">N7*0.495/1000</f>
        <v>0</v>
      </c>
      <c r="Q7" s="287">
        <v>2</v>
      </c>
      <c r="R7" s="3"/>
      <c r="S7" s="3"/>
      <c r="T7" s="2">
        <f>T6</f>
        <v>0</v>
      </c>
      <c r="U7" s="2">
        <v>0</v>
      </c>
      <c r="V7" s="6">
        <f>(温度条件他根拠!$E$10-0)/(温度条件他根拠!$E$10-温度条件他根拠!$E$8)</f>
        <v>0.96618357487922713</v>
      </c>
      <c r="W7" s="7">
        <f>$R$13*T7*U7/1000</f>
        <v>0</v>
      </c>
      <c r="X7" s="7">
        <f>V7*T7*$S$6/1000</f>
        <v>0</v>
      </c>
      <c r="Y7" s="2">
        <f>Y6</f>
        <v>3.55</v>
      </c>
      <c r="Z7" s="6">
        <f>Z6</f>
        <v>3.95</v>
      </c>
      <c r="AA7" s="7">
        <f t="shared" si="2"/>
        <v>0</v>
      </c>
      <c r="AB7" s="7">
        <f t="shared" si="3"/>
        <v>0</v>
      </c>
      <c r="AC7" s="13">
        <f t="shared" ref="AC7:AC17" si="8">AA7+AB7</f>
        <v>0</v>
      </c>
      <c r="AD7" s="12">
        <f t="shared" ref="AD7:AD17" si="9">AC7*0.495/1000</f>
        <v>0</v>
      </c>
    </row>
    <row r="8" spans="2:30">
      <c r="B8" s="4">
        <v>3</v>
      </c>
      <c r="C8" s="3"/>
      <c r="D8" s="3"/>
      <c r="E8" s="2">
        <f>E7</f>
        <v>0</v>
      </c>
      <c r="F8" s="2">
        <v>0</v>
      </c>
      <c r="G8" s="6">
        <f>(温度条件他根拠!$E$10-3.1)/(温度条件他根拠!$E$10-温度条件他根拠!$E$8)</f>
        <v>0.81642512077294682</v>
      </c>
      <c r="H8" s="7">
        <f t="shared" si="4"/>
        <v>0</v>
      </c>
      <c r="I8" s="7">
        <f t="shared" si="5"/>
        <v>0</v>
      </c>
      <c r="J8" s="2">
        <f>J7</f>
        <v>3.55</v>
      </c>
      <c r="K8" s="6">
        <f>K7</f>
        <v>3.95</v>
      </c>
      <c r="L8" s="7">
        <f t="shared" si="0"/>
        <v>0</v>
      </c>
      <c r="M8" s="7">
        <f t="shared" si="1"/>
        <v>0</v>
      </c>
      <c r="N8" s="13">
        <f t="shared" si="6"/>
        <v>0</v>
      </c>
      <c r="O8" s="12">
        <f t="shared" si="7"/>
        <v>0</v>
      </c>
      <c r="Q8" s="287">
        <v>3</v>
      </c>
      <c r="R8" s="3"/>
      <c r="S8" s="3"/>
      <c r="T8" s="2">
        <f t="shared" ref="T8:T17" si="10">T7</f>
        <v>0</v>
      </c>
      <c r="U8" s="2">
        <v>0</v>
      </c>
      <c r="V8" s="6">
        <f>(温度条件他根拠!$E$10-3.1)/(温度条件他根拠!$E$10-温度条件他根拠!$E$8)</f>
        <v>0.81642512077294682</v>
      </c>
      <c r="W8" s="7">
        <f>$R$13*T8*U8/1000</f>
        <v>0</v>
      </c>
      <c r="X8" s="7">
        <f>V8*T8*$S$6/1000</f>
        <v>0</v>
      </c>
      <c r="Y8" s="2">
        <f>Y7</f>
        <v>3.55</v>
      </c>
      <c r="Z8" s="6">
        <f>Z7</f>
        <v>3.95</v>
      </c>
      <c r="AA8" s="7">
        <f t="shared" si="2"/>
        <v>0</v>
      </c>
      <c r="AB8" s="7">
        <f t="shared" si="3"/>
        <v>0</v>
      </c>
      <c r="AC8" s="13">
        <f t="shared" si="8"/>
        <v>0</v>
      </c>
      <c r="AD8" s="12">
        <f t="shared" si="9"/>
        <v>0</v>
      </c>
    </row>
    <row r="9" spans="2:30">
      <c r="B9" s="4">
        <v>4</v>
      </c>
      <c r="C9" s="3"/>
      <c r="D9" s="3"/>
      <c r="E9" s="2">
        <f t="shared" ref="E9:E17" si="11">E8</f>
        <v>0</v>
      </c>
      <c r="F9" s="2">
        <v>0</v>
      </c>
      <c r="G9" s="6">
        <f>(温度条件他根拠!$E$10-8.4)/(温度条件他根拠!$E$10-温度条件他根拠!$E$8)</f>
        <v>0.56038647342995174</v>
      </c>
      <c r="H9" s="7">
        <f t="shared" si="4"/>
        <v>0</v>
      </c>
      <c r="I9" s="7">
        <f t="shared" si="5"/>
        <v>0</v>
      </c>
      <c r="J9" s="2">
        <f t="shared" ref="J9:K17" si="12">J8</f>
        <v>3.55</v>
      </c>
      <c r="K9" s="6">
        <f t="shared" si="12"/>
        <v>3.95</v>
      </c>
      <c r="L9" s="7">
        <f t="shared" si="0"/>
        <v>0</v>
      </c>
      <c r="M9" s="7">
        <f t="shared" si="1"/>
        <v>0</v>
      </c>
      <c r="N9" s="13">
        <f t="shared" si="6"/>
        <v>0</v>
      </c>
      <c r="O9" s="12">
        <f t="shared" si="7"/>
        <v>0</v>
      </c>
      <c r="Q9" s="287">
        <v>4</v>
      </c>
      <c r="R9" s="3"/>
      <c r="S9" s="3"/>
      <c r="T9" s="2">
        <f t="shared" si="10"/>
        <v>0</v>
      </c>
      <c r="U9" s="2">
        <v>0</v>
      </c>
      <c r="V9" s="6">
        <f>(温度条件他根拠!$E$10-8.4)/(温度条件他根拠!$E$10-温度条件他根拠!$E$8)</f>
        <v>0.56038647342995174</v>
      </c>
      <c r="W9" s="7">
        <f>$R$13*T9*U9/1000</f>
        <v>0</v>
      </c>
      <c r="X9" s="7">
        <f>V9*T9*$S$6/1000</f>
        <v>0</v>
      </c>
      <c r="Y9" s="2">
        <f t="shared" ref="Y9:Z9" si="13">Y8</f>
        <v>3.55</v>
      </c>
      <c r="Z9" s="6">
        <f t="shared" si="13"/>
        <v>3.95</v>
      </c>
      <c r="AA9" s="7">
        <f t="shared" si="2"/>
        <v>0</v>
      </c>
      <c r="AB9" s="7">
        <f t="shared" si="3"/>
        <v>0</v>
      </c>
      <c r="AC9" s="13">
        <f t="shared" si="8"/>
        <v>0</v>
      </c>
      <c r="AD9" s="12">
        <f t="shared" si="9"/>
        <v>0</v>
      </c>
    </row>
    <row r="10" spans="2:30">
      <c r="B10" s="4">
        <v>5</v>
      </c>
      <c r="C10" s="3"/>
      <c r="D10" s="3"/>
      <c r="E10" s="2">
        <f t="shared" si="11"/>
        <v>0</v>
      </c>
      <c r="F10" s="6">
        <f>(温度条件他根拠!$E$7-温度条件他根拠!$E$9)/(温度条件他根拠!$E$7-23.9)</f>
        <v>0.48749999999999982</v>
      </c>
      <c r="G10" s="6">
        <f>(温度条件他根拠!$E$10-13.4)/(温度条件他根拠!$E$10-温度条件他根拠!$E$8)</f>
        <v>0.3188405797101449</v>
      </c>
      <c r="H10" s="689">
        <f>0.25*$C$13*E10*F10/1000</f>
        <v>0</v>
      </c>
      <c r="I10" s="689">
        <f>0.25*G10*E10*$D$6/1000</f>
        <v>0</v>
      </c>
      <c r="J10" s="2">
        <f t="shared" si="12"/>
        <v>3.55</v>
      </c>
      <c r="K10" s="6">
        <f t="shared" si="12"/>
        <v>3.95</v>
      </c>
      <c r="L10" s="7">
        <f t="shared" si="0"/>
        <v>0</v>
      </c>
      <c r="M10" s="7">
        <f t="shared" si="1"/>
        <v>0</v>
      </c>
      <c r="N10" s="13">
        <f t="shared" si="6"/>
        <v>0</v>
      </c>
      <c r="O10" s="12">
        <f t="shared" si="7"/>
        <v>0</v>
      </c>
      <c r="Q10" s="287">
        <v>5</v>
      </c>
      <c r="R10" s="3"/>
      <c r="S10" s="3"/>
      <c r="T10" s="2">
        <f t="shared" si="10"/>
        <v>0</v>
      </c>
      <c r="U10" s="6">
        <f>(温度条件他根拠!$E$7-温度条件他根拠!$E$9)/(温度条件他根拠!$E$7-23.9)</f>
        <v>0.48749999999999982</v>
      </c>
      <c r="V10" s="6">
        <f>(温度条件他根拠!$E$10-13.4)/(温度条件他根拠!$E$10-温度条件他根拠!$E$8)</f>
        <v>0.3188405797101449</v>
      </c>
      <c r="W10" s="689">
        <f>0.25*$R$13*T10*U10/1000</f>
        <v>0</v>
      </c>
      <c r="X10" s="689">
        <f>0.25*V10*T10*$S$6/1000</f>
        <v>0</v>
      </c>
      <c r="Y10" s="2">
        <f t="shared" ref="Y10:Z10" si="14">Y9</f>
        <v>3.55</v>
      </c>
      <c r="Z10" s="6">
        <f t="shared" si="14"/>
        <v>3.95</v>
      </c>
      <c r="AA10" s="7">
        <f t="shared" si="2"/>
        <v>0</v>
      </c>
      <c r="AB10" s="7">
        <f t="shared" si="3"/>
        <v>0</v>
      </c>
      <c r="AC10" s="13">
        <f t="shared" si="8"/>
        <v>0</v>
      </c>
      <c r="AD10" s="12">
        <f t="shared" si="9"/>
        <v>0</v>
      </c>
    </row>
    <row r="11" spans="2:30">
      <c r="B11" s="4">
        <v>6</v>
      </c>
      <c r="C11" s="3"/>
      <c r="D11" s="3"/>
      <c r="E11" s="2">
        <f t="shared" si="11"/>
        <v>0</v>
      </c>
      <c r="F11" s="6">
        <f>(温度条件他根拠!$E$7-温度条件他根拠!$E$9)/(温度条件他根拠!$E$7-26.4)</f>
        <v>0.70909090909090888</v>
      </c>
      <c r="G11" s="2">
        <v>0</v>
      </c>
      <c r="H11" s="7">
        <f t="shared" si="4"/>
        <v>0</v>
      </c>
      <c r="I11" s="7">
        <f t="shared" si="5"/>
        <v>0</v>
      </c>
      <c r="J11" s="2">
        <f t="shared" si="12"/>
        <v>3.55</v>
      </c>
      <c r="K11" s="6">
        <f t="shared" si="12"/>
        <v>3.95</v>
      </c>
      <c r="L11" s="7">
        <f t="shared" si="0"/>
        <v>0</v>
      </c>
      <c r="M11" s="7">
        <f t="shared" si="1"/>
        <v>0</v>
      </c>
      <c r="N11" s="13">
        <f t="shared" si="6"/>
        <v>0</v>
      </c>
      <c r="O11" s="12">
        <f t="shared" si="7"/>
        <v>0</v>
      </c>
      <c r="Q11" s="287">
        <v>6</v>
      </c>
      <c r="R11" s="3"/>
      <c r="S11" s="3"/>
      <c r="T11" s="2">
        <f t="shared" si="10"/>
        <v>0</v>
      </c>
      <c r="U11" s="6">
        <f>(温度条件他根拠!$E$7-温度条件他根拠!$E$9)/(温度条件他根拠!$E$7-26.4)</f>
        <v>0.70909090909090888</v>
      </c>
      <c r="V11" s="2">
        <v>0</v>
      </c>
      <c r="W11" s="7">
        <f>$R$13*T11*U11/1000</f>
        <v>0</v>
      </c>
      <c r="X11" s="7">
        <f>V11*T11*$S$6/1000</f>
        <v>0</v>
      </c>
      <c r="Y11" s="2">
        <f t="shared" ref="Y11:Z11" si="15">Y10</f>
        <v>3.55</v>
      </c>
      <c r="Z11" s="6">
        <f t="shared" si="15"/>
        <v>3.95</v>
      </c>
      <c r="AA11" s="7">
        <f t="shared" si="2"/>
        <v>0</v>
      </c>
      <c r="AB11" s="7">
        <f t="shared" si="3"/>
        <v>0</v>
      </c>
      <c r="AC11" s="13">
        <f t="shared" si="8"/>
        <v>0</v>
      </c>
      <c r="AD11" s="12">
        <f t="shared" si="9"/>
        <v>0</v>
      </c>
    </row>
    <row r="12" spans="2:30">
      <c r="B12" s="4">
        <v>7</v>
      </c>
      <c r="C12" s="3"/>
      <c r="D12" s="3"/>
      <c r="E12" s="2">
        <f t="shared" si="11"/>
        <v>0</v>
      </c>
      <c r="F12" s="6">
        <f>(温度条件他根拠!$E$7-温度条件他根拠!$E$9)/(温度条件他根拠!$E$7-28)</f>
        <v>1</v>
      </c>
      <c r="G12" s="2">
        <v>0</v>
      </c>
      <c r="H12" s="7">
        <f t="shared" si="4"/>
        <v>0</v>
      </c>
      <c r="I12" s="7">
        <f t="shared" si="5"/>
        <v>0</v>
      </c>
      <c r="J12" s="2">
        <f t="shared" si="12"/>
        <v>3.55</v>
      </c>
      <c r="K12" s="6">
        <f t="shared" si="12"/>
        <v>3.95</v>
      </c>
      <c r="L12" s="7">
        <f t="shared" si="0"/>
        <v>0</v>
      </c>
      <c r="M12" s="7">
        <f t="shared" si="1"/>
        <v>0</v>
      </c>
      <c r="N12" s="13">
        <f t="shared" si="6"/>
        <v>0</v>
      </c>
      <c r="O12" s="12">
        <f t="shared" si="7"/>
        <v>0</v>
      </c>
      <c r="Q12" s="287">
        <v>7</v>
      </c>
      <c r="R12" s="3"/>
      <c r="S12" s="3"/>
      <c r="T12" s="2">
        <f t="shared" si="10"/>
        <v>0</v>
      </c>
      <c r="U12" s="6">
        <f>(温度条件他根拠!$E$7-温度条件他根拠!$E$9)/(温度条件他根拠!$E$7-28)</f>
        <v>1</v>
      </c>
      <c r="V12" s="2">
        <v>0</v>
      </c>
      <c r="W12" s="7">
        <f>$R$13*T12*U12/1000</f>
        <v>0</v>
      </c>
      <c r="X12" s="7">
        <f>V12*T12*$S$6/1000</f>
        <v>0</v>
      </c>
      <c r="Y12" s="2">
        <f t="shared" ref="Y12:Z12" si="16">Y11</f>
        <v>3.55</v>
      </c>
      <c r="Z12" s="6">
        <f t="shared" si="16"/>
        <v>3.95</v>
      </c>
      <c r="AA12" s="7">
        <f t="shared" si="2"/>
        <v>0</v>
      </c>
      <c r="AB12" s="7">
        <f t="shared" si="3"/>
        <v>0</v>
      </c>
      <c r="AC12" s="13">
        <f t="shared" si="8"/>
        <v>0</v>
      </c>
      <c r="AD12" s="12">
        <f t="shared" si="9"/>
        <v>0</v>
      </c>
    </row>
    <row r="13" spans="2:30">
      <c r="B13" s="4">
        <v>8</v>
      </c>
      <c r="C13" s="7">
        <f>結果!I112</f>
        <v>0</v>
      </c>
      <c r="D13" s="3"/>
      <c r="E13" s="2">
        <f t="shared" si="11"/>
        <v>0</v>
      </c>
      <c r="F13" s="6">
        <f>(温度条件他根拠!$E$7-温度条件他根拠!$E$9)/(温度条件他根拠!$E$7-28)</f>
        <v>1</v>
      </c>
      <c r="G13" s="2">
        <v>0</v>
      </c>
      <c r="H13" s="7">
        <f t="shared" si="4"/>
        <v>0</v>
      </c>
      <c r="I13" s="7">
        <f t="shared" si="5"/>
        <v>0</v>
      </c>
      <c r="J13" s="2">
        <f t="shared" si="12"/>
        <v>3.55</v>
      </c>
      <c r="K13" s="6">
        <f t="shared" si="12"/>
        <v>3.95</v>
      </c>
      <c r="L13" s="7">
        <f t="shared" si="0"/>
        <v>0</v>
      </c>
      <c r="M13" s="7">
        <f t="shared" si="1"/>
        <v>0</v>
      </c>
      <c r="N13" s="13">
        <f t="shared" si="6"/>
        <v>0</v>
      </c>
      <c r="O13" s="12">
        <f t="shared" si="7"/>
        <v>0</v>
      </c>
      <c r="Q13" s="287">
        <v>8</v>
      </c>
      <c r="R13" s="7">
        <f>結果!I113</f>
        <v>0</v>
      </c>
      <c r="S13" s="3"/>
      <c r="T13" s="2">
        <f t="shared" si="10"/>
        <v>0</v>
      </c>
      <c r="U13" s="6">
        <f>(温度条件他根拠!$E$7-温度条件他根拠!$E$9)/(温度条件他根拠!$E$7-28)</f>
        <v>1</v>
      </c>
      <c r="V13" s="2">
        <v>0</v>
      </c>
      <c r="W13" s="7">
        <f>$R$13*T13*U13/1000</f>
        <v>0</v>
      </c>
      <c r="X13" s="7">
        <f>V13*T13*$S$6/1000</f>
        <v>0</v>
      </c>
      <c r="Y13" s="2">
        <f t="shared" ref="Y13:Z13" si="17">Y12</f>
        <v>3.55</v>
      </c>
      <c r="Z13" s="6">
        <f t="shared" si="17"/>
        <v>3.95</v>
      </c>
      <c r="AA13" s="7">
        <f t="shared" si="2"/>
        <v>0</v>
      </c>
      <c r="AB13" s="7">
        <f t="shared" si="3"/>
        <v>0</v>
      </c>
      <c r="AC13" s="13">
        <f t="shared" si="8"/>
        <v>0</v>
      </c>
      <c r="AD13" s="12">
        <f t="shared" si="9"/>
        <v>0</v>
      </c>
    </row>
    <row r="14" spans="2:30">
      <c r="B14" s="4">
        <v>9</v>
      </c>
      <c r="C14" s="3"/>
      <c r="D14" s="3"/>
      <c r="E14" s="2">
        <f t="shared" si="11"/>
        <v>0</v>
      </c>
      <c r="F14" s="6">
        <f>(温度条件他根拠!$E$7-温度条件他根拠!$E$9)/(温度条件他根拠!$E$7-27.2)</f>
        <v>0.82978723404255306</v>
      </c>
      <c r="G14" s="2">
        <v>0</v>
      </c>
      <c r="H14" s="7">
        <f t="shared" si="4"/>
        <v>0</v>
      </c>
      <c r="I14" s="7">
        <f t="shared" si="5"/>
        <v>0</v>
      </c>
      <c r="J14" s="2">
        <f t="shared" si="12"/>
        <v>3.55</v>
      </c>
      <c r="K14" s="6">
        <f t="shared" si="12"/>
        <v>3.95</v>
      </c>
      <c r="L14" s="7">
        <f t="shared" si="0"/>
        <v>0</v>
      </c>
      <c r="M14" s="7">
        <f t="shared" si="1"/>
        <v>0</v>
      </c>
      <c r="N14" s="13">
        <f t="shared" si="6"/>
        <v>0</v>
      </c>
      <c r="O14" s="12">
        <f t="shared" si="7"/>
        <v>0</v>
      </c>
      <c r="Q14" s="287">
        <v>9</v>
      </c>
      <c r="R14" s="3"/>
      <c r="S14" s="3"/>
      <c r="T14" s="2">
        <f t="shared" si="10"/>
        <v>0</v>
      </c>
      <c r="U14" s="6">
        <f>(温度条件他根拠!$E$7-温度条件他根拠!$E$9)/(温度条件他根拠!$E$7-27.2)</f>
        <v>0.82978723404255306</v>
      </c>
      <c r="V14" s="2">
        <v>0</v>
      </c>
      <c r="W14" s="7">
        <f>$R$13*T14*U14/1000</f>
        <v>0</v>
      </c>
      <c r="X14" s="7">
        <f>V14*T14*$S$6/1000</f>
        <v>0</v>
      </c>
      <c r="Y14" s="2">
        <f t="shared" ref="Y14:Z14" si="18">Y13</f>
        <v>3.55</v>
      </c>
      <c r="Z14" s="6">
        <f t="shared" si="18"/>
        <v>3.95</v>
      </c>
      <c r="AA14" s="7">
        <f t="shared" si="2"/>
        <v>0</v>
      </c>
      <c r="AB14" s="7">
        <f t="shared" si="3"/>
        <v>0</v>
      </c>
      <c r="AC14" s="13">
        <f t="shared" si="8"/>
        <v>0</v>
      </c>
      <c r="AD14" s="12">
        <f t="shared" si="9"/>
        <v>0</v>
      </c>
    </row>
    <row r="15" spans="2:30">
      <c r="B15" s="4">
        <v>10</v>
      </c>
      <c r="C15" s="3"/>
      <c r="D15" s="3"/>
      <c r="E15" s="2">
        <f t="shared" si="11"/>
        <v>0</v>
      </c>
      <c r="F15" s="6">
        <f>(温度条件他根拠!$E$7-温度条件他根拠!$E$9)/(温度条件他根拠!$E$7-21.7)</f>
        <v>0.38235294117647045</v>
      </c>
      <c r="G15" s="6">
        <f>(温度条件他根拠!$E$10-13)/(温度条件他根拠!$E$10-温度条件他根拠!$E$8)</f>
        <v>0.33816425120772947</v>
      </c>
      <c r="H15" s="689">
        <f>($C$13*E15*F15/1000)*0.25</f>
        <v>0</v>
      </c>
      <c r="I15" s="689">
        <f>(G15*E15*$D$6/1000)*0.25</f>
        <v>0</v>
      </c>
      <c r="J15" s="2">
        <f t="shared" si="12"/>
        <v>3.55</v>
      </c>
      <c r="K15" s="6">
        <f t="shared" si="12"/>
        <v>3.95</v>
      </c>
      <c r="L15" s="7">
        <f t="shared" si="0"/>
        <v>0</v>
      </c>
      <c r="M15" s="7">
        <f t="shared" si="1"/>
        <v>0</v>
      </c>
      <c r="N15" s="13">
        <f t="shared" si="6"/>
        <v>0</v>
      </c>
      <c r="O15" s="12">
        <f t="shared" si="7"/>
        <v>0</v>
      </c>
      <c r="Q15" s="287">
        <v>10</v>
      </c>
      <c r="R15" s="3"/>
      <c r="S15" s="3"/>
      <c r="T15" s="2">
        <f t="shared" si="10"/>
        <v>0</v>
      </c>
      <c r="U15" s="6">
        <f>(温度条件他根拠!$E$7-温度条件他根拠!$E$9)/(温度条件他根拠!$E$7-21.7)</f>
        <v>0.38235294117647045</v>
      </c>
      <c r="V15" s="6">
        <f>(温度条件他根拠!$E$10-13)/(温度条件他根拠!$E$10-温度条件他根拠!$E$8)</f>
        <v>0.33816425120772947</v>
      </c>
      <c r="W15" s="689">
        <f>($R$13*T15*U15/1000)*0.25</f>
        <v>0</v>
      </c>
      <c r="X15" s="689">
        <f>(V15*T15*$S$6/1000)*0.25</f>
        <v>0</v>
      </c>
      <c r="Y15" s="2">
        <f t="shared" ref="Y15:Z15" si="19">Y14</f>
        <v>3.55</v>
      </c>
      <c r="Z15" s="6">
        <f t="shared" si="19"/>
        <v>3.95</v>
      </c>
      <c r="AA15" s="7">
        <f t="shared" si="2"/>
        <v>0</v>
      </c>
      <c r="AB15" s="7">
        <f t="shared" si="3"/>
        <v>0</v>
      </c>
      <c r="AC15" s="13">
        <f t="shared" si="8"/>
        <v>0</v>
      </c>
      <c r="AD15" s="12">
        <f t="shared" si="9"/>
        <v>0</v>
      </c>
    </row>
    <row r="16" spans="2:30">
      <c r="B16" s="4">
        <v>11</v>
      </c>
      <c r="C16" s="3"/>
      <c r="D16" s="3"/>
      <c r="E16" s="2">
        <f t="shared" si="11"/>
        <v>0</v>
      </c>
      <c r="F16" s="2">
        <v>0</v>
      </c>
      <c r="G16" s="6">
        <f>(温度条件他根拠!$E$10-6.7)/(温度条件他根拠!$E$10-温度条件他根拠!$E$8)</f>
        <v>0.64251207729468607</v>
      </c>
      <c r="H16" s="7">
        <f t="shared" si="4"/>
        <v>0</v>
      </c>
      <c r="I16" s="7">
        <f t="shared" si="5"/>
        <v>0</v>
      </c>
      <c r="J16" s="2">
        <f t="shared" si="12"/>
        <v>3.55</v>
      </c>
      <c r="K16" s="6">
        <f t="shared" si="12"/>
        <v>3.95</v>
      </c>
      <c r="L16" s="7">
        <f t="shared" si="0"/>
        <v>0</v>
      </c>
      <c r="M16" s="7">
        <f t="shared" si="1"/>
        <v>0</v>
      </c>
      <c r="N16" s="13">
        <f t="shared" si="6"/>
        <v>0</v>
      </c>
      <c r="O16" s="12">
        <f t="shared" si="7"/>
        <v>0</v>
      </c>
      <c r="Q16" s="287">
        <v>11</v>
      </c>
      <c r="R16" s="3"/>
      <c r="S16" s="3"/>
      <c r="T16" s="2">
        <f t="shared" si="10"/>
        <v>0</v>
      </c>
      <c r="U16" s="2">
        <v>0</v>
      </c>
      <c r="V16" s="6">
        <f>(温度条件他根拠!$E$10-6.7)/(温度条件他根拠!$E$10-温度条件他根拠!$E$8)</f>
        <v>0.64251207729468607</v>
      </c>
      <c r="W16" s="7">
        <f>$R$13*T16*U16/1000</f>
        <v>0</v>
      </c>
      <c r="X16" s="7">
        <f>V16*T16*$S$6/1000</f>
        <v>0</v>
      </c>
      <c r="Y16" s="2">
        <f t="shared" ref="Y16:Z16" si="20">Y15</f>
        <v>3.55</v>
      </c>
      <c r="Z16" s="6">
        <f t="shared" si="20"/>
        <v>3.95</v>
      </c>
      <c r="AA16" s="7">
        <f t="shared" si="2"/>
        <v>0</v>
      </c>
      <c r="AB16" s="7">
        <f t="shared" si="3"/>
        <v>0</v>
      </c>
      <c r="AC16" s="13">
        <f t="shared" si="8"/>
        <v>0</v>
      </c>
      <c r="AD16" s="12">
        <f t="shared" si="9"/>
        <v>0</v>
      </c>
    </row>
    <row r="17" spans="2:30">
      <c r="B17" s="4">
        <v>12</v>
      </c>
      <c r="C17" s="3"/>
      <c r="D17" s="3"/>
      <c r="E17" s="2">
        <f t="shared" si="11"/>
        <v>0</v>
      </c>
      <c r="F17" s="2">
        <v>0</v>
      </c>
      <c r="G17" s="6">
        <f>(温度条件他根拠!$E$10-1.6)/(温度条件他根拠!$E$10-温度条件他根拠!$E$8)</f>
        <v>0.88888888888888884</v>
      </c>
      <c r="H17" s="7">
        <f t="shared" si="4"/>
        <v>0</v>
      </c>
      <c r="I17" s="7">
        <f t="shared" si="5"/>
        <v>0</v>
      </c>
      <c r="J17" s="2">
        <f t="shared" si="12"/>
        <v>3.55</v>
      </c>
      <c r="K17" s="6">
        <f t="shared" si="12"/>
        <v>3.95</v>
      </c>
      <c r="L17" s="7">
        <f t="shared" si="0"/>
        <v>0</v>
      </c>
      <c r="M17" s="7">
        <f t="shared" si="1"/>
        <v>0</v>
      </c>
      <c r="N17" s="13">
        <f t="shared" si="6"/>
        <v>0</v>
      </c>
      <c r="O17" s="12">
        <f t="shared" si="7"/>
        <v>0</v>
      </c>
      <c r="Q17" s="287">
        <v>12</v>
      </c>
      <c r="R17" s="3"/>
      <c r="S17" s="3"/>
      <c r="T17" s="2">
        <f t="shared" si="10"/>
        <v>0</v>
      </c>
      <c r="U17" s="2">
        <v>0</v>
      </c>
      <c r="V17" s="6">
        <f>(温度条件他根拠!$E$10-1.6)/(温度条件他根拠!$E$10-温度条件他根拠!$E$8)</f>
        <v>0.88888888888888884</v>
      </c>
      <c r="W17" s="7">
        <f>$R$13*T17*U17/1000</f>
        <v>0</v>
      </c>
      <c r="X17" s="7">
        <f>V17*T17*$S$6/1000</f>
        <v>0</v>
      </c>
      <c r="Y17" s="2">
        <f t="shared" ref="Y17:Z17" si="21">Y16</f>
        <v>3.55</v>
      </c>
      <c r="Z17" s="6">
        <f t="shared" si="21"/>
        <v>3.95</v>
      </c>
      <c r="AA17" s="7">
        <f t="shared" si="2"/>
        <v>0</v>
      </c>
      <c r="AB17" s="7">
        <f t="shared" si="3"/>
        <v>0</v>
      </c>
      <c r="AC17" s="13">
        <f t="shared" si="8"/>
        <v>0</v>
      </c>
      <c r="AD17" s="12">
        <f t="shared" si="9"/>
        <v>0</v>
      </c>
    </row>
    <row r="18" spans="2:30">
      <c r="B18" s="2" t="s">
        <v>1</v>
      </c>
      <c r="C18" s="3"/>
      <c r="D18" s="3"/>
      <c r="E18" s="7">
        <f>SUM(E6:E17)</f>
        <v>0</v>
      </c>
      <c r="F18" s="3"/>
      <c r="G18" s="3"/>
      <c r="H18" s="7">
        <f>SUM(H6:H17)</f>
        <v>0</v>
      </c>
      <c r="I18" s="7">
        <f>SUM(I6:I17)</f>
        <v>0</v>
      </c>
      <c r="J18" s="3"/>
      <c r="K18" s="3"/>
      <c r="L18" s="7">
        <f>SUM(L6:L17)</f>
        <v>0</v>
      </c>
      <c r="M18" s="7">
        <f>SUM(M6:M17)</f>
        <v>0</v>
      </c>
      <c r="N18" s="13">
        <f>SUM(N6:N17)</f>
        <v>0</v>
      </c>
      <c r="O18" s="17">
        <f>SUM(O6:O17)</f>
        <v>0</v>
      </c>
      <c r="Q18" s="2" t="s">
        <v>1</v>
      </c>
      <c r="R18" s="3"/>
      <c r="S18" s="3"/>
      <c r="T18" s="7">
        <f>SUM(T6:T17)</f>
        <v>0</v>
      </c>
      <c r="U18" s="3"/>
      <c r="V18" s="3"/>
      <c r="W18" s="7">
        <f>SUM(W6:W17)</f>
        <v>0</v>
      </c>
      <c r="X18" s="7">
        <f>SUM(X6:X17)</f>
        <v>0</v>
      </c>
      <c r="Y18" s="3"/>
      <c r="Z18" s="3"/>
      <c r="AA18" s="7">
        <f>SUM(AA6:AA17)</f>
        <v>0</v>
      </c>
      <c r="AB18" s="7">
        <f>SUM(AB6:AB17)</f>
        <v>0</v>
      </c>
      <c r="AC18" s="13">
        <f>SUM(AC6:AC17)</f>
        <v>0</v>
      </c>
      <c r="AD18" s="17">
        <f>SUM(AD6:AD17)</f>
        <v>0</v>
      </c>
    </row>
    <row r="20" spans="2:30">
      <c r="B20" s="8" t="s">
        <v>23</v>
      </c>
      <c r="C20" s="9"/>
      <c r="D20" s="9"/>
      <c r="E20" s="10">
        <f>L18+M18</f>
        <v>0</v>
      </c>
      <c r="F20" s="9" t="s">
        <v>13</v>
      </c>
      <c r="G20" s="8" t="s">
        <v>24</v>
      </c>
      <c r="H20" s="11"/>
      <c r="Q20" s="8" t="s">
        <v>572</v>
      </c>
      <c r="R20" s="9"/>
      <c r="S20" s="9"/>
      <c r="T20" s="10">
        <f>AA18+AB18</f>
        <v>0</v>
      </c>
      <c r="U20" s="9" t="s">
        <v>13</v>
      </c>
      <c r="V20" s="8" t="s">
        <v>24</v>
      </c>
      <c r="W20" s="11"/>
      <c r="Y20" s="8" t="s">
        <v>574</v>
      </c>
      <c r="Z20" s="9"/>
      <c r="AA20" s="9"/>
      <c r="AB20" s="290">
        <f>T20-E20</f>
        <v>0</v>
      </c>
      <c r="AC20" s="11" t="s">
        <v>13</v>
      </c>
    </row>
    <row r="21" spans="2:30">
      <c r="B21" s="8" t="s">
        <v>28</v>
      </c>
      <c r="C21" s="9"/>
      <c r="D21" s="9"/>
      <c r="E21" s="16">
        <f>E20*0.495/1000</f>
        <v>0</v>
      </c>
      <c r="F21" s="9" t="s">
        <v>7</v>
      </c>
      <c r="G21" s="8" t="s">
        <v>33</v>
      </c>
      <c r="H21" s="11"/>
      <c r="Q21" s="8" t="s">
        <v>573</v>
      </c>
      <c r="R21" s="9"/>
      <c r="S21" s="9"/>
      <c r="T21" s="16">
        <f>T20*0.495/1000</f>
        <v>0</v>
      </c>
      <c r="U21" s="9" t="s">
        <v>7</v>
      </c>
      <c r="V21" s="8" t="s">
        <v>33</v>
      </c>
      <c r="W21" s="11"/>
      <c r="Y21" s="8" t="s">
        <v>575</v>
      </c>
      <c r="Z21" s="9"/>
      <c r="AA21" s="9"/>
      <c r="AB21" s="290">
        <f>T21-E21</f>
        <v>0</v>
      </c>
      <c r="AC21" s="11" t="s">
        <v>7</v>
      </c>
    </row>
    <row r="43" spans="2:3">
      <c r="B43" s="691">
        <v>43927</v>
      </c>
      <c r="C43" s="690" t="s">
        <v>866</v>
      </c>
    </row>
  </sheetData>
  <mergeCells count="1">
    <mergeCell ref="B2:O2"/>
  </mergeCells>
  <phoneticPr fontId="2"/>
  <pageMargins left="0" right="0" top="0.55118110236220474" bottom="0.15748031496062992" header="0.11811023622047245" footer="0"/>
  <pageSetup paperSize="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92D050"/>
  </sheetPr>
  <dimension ref="B1:AD62"/>
  <sheetViews>
    <sheetView topLeftCell="L17" workbookViewId="0">
      <selection activeCell="C67" sqref="C67"/>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5">
      <c r="B1" s="155">
        <f>温度条件他根拠!E6</f>
        <v>2</v>
      </c>
      <c r="C1" s="705" t="str">
        <f ca="1">RIGHT(CELL("filename",C1),LEN(CELL("filename",C1))-FIND("]",CELL("filename",C1)))</f>
        <v>熊谷市屋根遮熱</v>
      </c>
      <c r="D1" s="81"/>
      <c r="E1" s="81"/>
      <c r="F1" s="81"/>
      <c r="G1" s="81"/>
      <c r="H1" s="81"/>
      <c r="I1" s="81"/>
      <c r="J1" s="81"/>
      <c r="K1" s="81"/>
      <c r="L1" s="81"/>
      <c r="M1" s="81"/>
      <c r="N1" s="81"/>
      <c r="O1" s="81"/>
    </row>
    <row r="2" spans="2:15">
      <c r="B2" s="2080"/>
      <c r="C2" s="2080"/>
      <c r="D2" s="2080"/>
      <c r="E2" s="2080"/>
      <c r="F2" s="2080"/>
      <c r="G2" s="2080"/>
      <c r="H2" s="2080"/>
      <c r="I2" s="2080"/>
      <c r="J2" s="2080"/>
      <c r="K2" s="2080"/>
      <c r="L2" s="2080"/>
      <c r="M2" s="2080"/>
      <c r="N2" s="2080"/>
      <c r="O2" s="2080"/>
    </row>
    <row r="3" spans="2:15">
      <c r="B3" s="892"/>
      <c r="C3" s="892"/>
      <c r="D3" s="892"/>
      <c r="E3" s="892"/>
      <c r="F3" s="892"/>
      <c r="G3" s="892"/>
      <c r="H3" s="892"/>
      <c r="I3" s="892"/>
      <c r="J3" s="892"/>
      <c r="K3" s="892"/>
      <c r="L3" s="892"/>
      <c r="M3" s="892"/>
      <c r="N3" s="892"/>
      <c r="O3" s="892"/>
    </row>
    <row r="4" spans="2:15">
      <c r="B4" s="820" t="s">
        <v>1093</v>
      </c>
      <c r="C4" s="821"/>
      <c r="D4" s="822"/>
      <c r="E4" s="823"/>
      <c r="F4" s="821"/>
      <c r="G4" s="821"/>
      <c r="H4" s="821"/>
      <c r="I4" s="824"/>
      <c r="J4" s="824"/>
      <c r="K4" s="824"/>
      <c r="L4" s="824"/>
      <c r="M4" s="824"/>
      <c r="N4" s="824"/>
      <c r="O4" s="892"/>
    </row>
    <row r="5" spans="2:15">
      <c r="B5" s="2065" t="s">
        <v>1094</v>
      </c>
      <c r="C5" s="2065"/>
      <c r="D5" s="2065" t="s">
        <v>1095</v>
      </c>
      <c r="E5" s="2065"/>
      <c r="F5" s="2065"/>
      <c r="G5" s="2066" t="s">
        <v>1096</v>
      </c>
      <c r="H5" s="2065" t="s">
        <v>1097</v>
      </c>
      <c r="I5" s="2065"/>
      <c r="J5" s="2065"/>
      <c r="K5" s="2065"/>
      <c r="L5" s="2065"/>
      <c r="M5" s="2065"/>
      <c r="N5" s="2065"/>
      <c r="O5" s="892"/>
    </row>
    <row r="6" spans="2:15">
      <c r="B6" s="2065"/>
      <c r="C6" s="2065"/>
      <c r="D6" s="825" t="s">
        <v>1098</v>
      </c>
      <c r="E6" s="825" t="s">
        <v>1099</v>
      </c>
      <c r="F6" s="825" t="s">
        <v>1100</v>
      </c>
      <c r="G6" s="2065"/>
      <c r="H6" s="2065"/>
      <c r="I6" s="2065"/>
      <c r="J6" s="2065"/>
      <c r="K6" s="2065"/>
      <c r="L6" s="2065"/>
      <c r="M6" s="2065"/>
      <c r="N6" s="2065"/>
      <c r="O6" s="892"/>
    </row>
    <row r="7" spans="2:15">
      <c r="B7" s="826" t="s">
        <v>1101</v>
      </c>
      <c r="C7" s="827" t="s">
        <v>1102</v>
      </c>
      <c r="D7" s="828">
        <f>結果!H30</f>
        <v>0</v>
      </c>
      <c r="E7" s="828">
        <f>結果!J30</f>
        <v>0</v>
      </c>
      <c r="F7" s="828">
        <f>結果!L30</f>
        <v>0</v>
      </c>
      <c r="G7" s="828">
        <f>結果!Q30</f>
        <v>0</v>
      </c>
      <c r="H7" s="2067" t="s">
        <v>1103</v>
      </c>
      <c r="I7" s="2067"/>
      <c r="J7" s="2067"/>
      <c r="K7" s="2067"/>
      <c r="L7" s="2067"/>
      <c r="M7" s="2067"/>
      <c r="N7" s="2067"/>
      <c r="O7" s="892"/>
    </row>
    <row r="8" spans="2:15">
      <c r="B8" s="826" t="s">
        <v>1386</v>
      </c>
      <c r="C8" s="1008"/>
      <c r="D8" s="1005"/>
      <c r="E8" s="1006">
        <f>MAX(D7:F7)</f>
        <v>0</v>
      </c>
      <c r="F8" s="1002"/>
      <c r="G8" s="1002">
        <f>G7</f>
        <v>0</v>
      </c>
      <c r="H8" s="2067"/>
      <c r="I8" s="2067"/>
      <c r="J8" s="2067"/>
      <c r="K8" s="2067"/>
      <c r="L8" s="2067"/>
      <c r="M8" s="2067"/>
      <c r="N8" s="2067"/>
      <c r="O8" s="995"/>
    </row>
    <row r="9" spans="2:15">
      <c r="B9" s="826" t="s">
        <v>1104</v>
      </c>
      <c r="C9" s="827" t="s">
        <v>1105</v>
      </c>
      <c r="D9" s="828">
        <f>結果!H70</f>
        <v>0</v>
      </c>
      <c r="E9" s="828">
        <f>結果!J70</f>
        <v>0</v>
      </c>
      <c r="F9" s="828">
        <f>結果!L70</f>
        <v>0</v>
      </c>
      <c r="G9" s="829">
        <f>結果!Q70</f>
        <v>0</v>
      </c>
      <c r="H9" s="2067"/>
      <c r="I9" s="2067"/>
      <c r="J9" s="2067"/>
      <c r="K9" s="2067"/>
      <c r="L9" s="2067"/>
      <c r="M9" s="2067"/>
      <c r="N9" s="2067"/>
      <c r="O9" s="892"/>
    </row>
    <row r="10" spans="2:15">
      <c r="B10" s="826" t="s">
        <v>1106</v>
      </c>
      <c r="C10" s="827" t="s">
        <v>1107</v>
      </c>
      <c r="D10" s="829">
        <f>D7-D9</f>
        <v>0</v>
      </c>
      <c r="E10" s="829">
        <f t="shared" ref="E10:G10" si="0">E7-E9</f>
        <v>0</v>
      </c>
      <c r="F10" s="829">
        <f t="shared" si="0"/>
        <v>0</v>
      </c>
      <c r="G10" s="829">
        <f t="shared" si="0"/>
        <v>0</v>
      </c>
      <c r="H10" s="2067"/>
      <c r="I10" s="2067"/>
      <c r="J10" s="2067"/>
      <c r="K10" s="2067"/>
      <c r="L10" s="2067"/>
      <c r="M10" s="2067"/>
      <c r="N10" s="2067"/>
      <c r="O10" s="892"/>
    </row>
    <row r="11" spans="2:15" ht="36">
      <c r="B11" s="994" t="s">
        <v>1385</v>
      </c>
      <c r="C11" s="830" t="s">
        <v>1108</v>
      </c>
      <c r="D11" s="2068">
        <f>MAX(D10:F10)</f>
        <v>0</v>
      </c>
      <c r="E11" s="2068"/>
      <c r="F11" s="2068"/>
      <c r="G11" s="829">
        <f>MAX(G10)</f>
        <v>0</v>
      </c>
      <c r="H11" s="2067" t="s">
        <v>1109</v>
      </c>
      <c r="I11" s="2067"/>
      <c r="J11" s="2067"/>
      <c r="K11" s="2067"/>
      <c r="L11" s="2067"/>
      <c r="M11" s="2067"/>
      <c r="N11" s="2067"/>
      <c r="O11" s="892"/>
    </row>
    <row r="12" spans="2:15" ht="24">
      <c r="B12" s="830" t="s">
        <v>1110</v>
      </c>
      <c r="C12" s="830" t="s">
        <v>1111</v>
      </c>
      <c r="D12" s="2068">
        <f>温度条件他根拠!C29</f>
        <v>0</v>
      </c>
      <c r="E12" s="2068"/>
      <c r="F12" s="2068"/>
      <c r="G12" s="829">
        <v>0</v>
      </c>
      <c r="H12" s="2067" t="s">
        <v>1112</v>
      </c>
      <c r="I12" s="2067"/>
      <c r="J12" s="2067"/>
      <c r="K12" s="2067"/>
      <c r="L12" s="2067"/>
      <c r="M12" s="2067"/>
      <c r="N12" s="2067"/>
      <c r="O12" s="892"/>
    </row>
    <row r="13" spans="2:15" ht="60">
      <c r="B13" s="830" t="s">
        <v>1113</v>
      </c>
      <c r="C13" s="830" t="s">
        <v>1114</v>
      </c>
      <c r="D13" s="2069">
        <f>D12*D11</f>
        <v>0</v>
      </c>
      <c r="E13" s="2070"/>
      <c r="F13" s="2071"/>
      <c r="G13" s="829">
        <f>G12*G11</f>
        <v>0</v>
      </c>
      <c r="H13" s="2072"/>
      <c r="I13" s="2073"/>
      <c r="J13" s="2073"/>
      <c r="K13" s="2073"/>
      <c r="L13" s="2073"/>
      <c r="M13" s="2073"/>
      <c r="N13" s="2074"/>
      <c r="O13" s="892"/>
    </row>
    <row r="14" spans="2:15">
      <c r="B14" s="892"/>
      <c r="C14" s="892"/>
      <c r="D14" s="892"/>
      <c r="E14" s="892"/>
      <c r="F14" s="892"/>
      <c r="G14" s="892"/>
      <c r="H14" s="892"/>
      <c r="I14" s="892"/>
      <c r="J14" s="892"/>
      <c r="K14" s="892"/>
      <c r="L14" s="892"/>
      <c r="M14" s="892"/>
      <c r="N14" s="892"/>
      <c r="O14" s="892"/>
    </row>
    <row r="15" spans="2:15">
      <c r="B15" s="892"/>
      <c r="C15" s="892"/>
      <c r="D15" s="892"/>
      <c r="E15" s="892"/>
      <c r="F15" s="892"/>
      <c r="G15" s="892"/>
      <c r="H15" s="892"/>
      <c r="I15" s="892"/>
      <c r="J15" s="892"/>
      <c r="K15" s="892"/>
      <c r="L15" s="892"/>
      <c r="M15" s="892"/>
      <c r="N15" s="892"/>
      <c r="O15" s="892"/>
    </row>
    <row r="16" spans="2:15">
      <c r="B16" s="1129" t="s">
        <v>183</v>
      </c>
      <c r="C16" s="1129"/>
      <c r="D16" s="1129"/>
      <c r="E16" s="1129"/>
      <c r="F16" s="1129"/>
      <c r="G16" s="1129"/>
      <c r="H16" s="1129"/>
      <c r="I16" s="1129"/>
      <c r="J16" s="1129"/>
      <c r="K16" s="1129"/>
      <c r="L16" s="1129"/>
      <c r="M16" s="1129"/>
      <c r="N16" s="1129"/>
      <c r="O16" s="1129"/>
    </row>
    <row r="17" spans="2:30" ht="36">
      <c r="B17" s="554" t="s">
        <v>0</v>
      </c>
      <c r="C17" s="814" t="s">
        <v>1117</v>
      </c>
      <c r="D17" s="814" t="s">
        <v>1118</v>
      </c>
      <c r="E17" s="814" t="s">
        <v>1116</v>
      </c>
      <c r="F17" s="20" t="s">
        <v>42</v>
      </c>
      <c r="G17" s="20" t="s">
        <v>43</v>
      </c>
      <c r="H17" s="18" t="s">
        <v>35</v>
      </c>
      <c r="I17" s="18" t="s">
        <v>36</v>
      </c>
      <c r="J17" s="20" t="s">
        <v>2</v>
      </c>
      <c r="K17" s="20" t="s">
        <v>3</v>
      </c>
      <c r="L17" s="20" t="s">
        <v>39</v>
      </c>
      <c r="M17" s="20" t="s">
        <v>38</v>
      </c>
      <c r="N17" s="20" t="s">
        <v>45</v>
      </c>
      <c r="O17" s="20" t="s">
        <v>44</v>
      </c>
      <c r="Q17" s="554" t="s">
        <v>0</v>
      </c>
      <c r="R17" s="1017" t="s">
        <v>1391</v>
      </c>
      <c r="S17" s="1017" t="s">
        <v>1392</v>
      </c>
      <c r="T17" s="993" t="s">
        <v>1116</v>
      </c>
      <c r="U17" s="20" t="s">
        <v>42</v>
      </c>
      <c r="V17" s="20" t="s">
        <v>43</v>
      </c>
      <c r="W17" s="18" t="s">
        <v>566</v>
      </c>
      <c r="X17" s="20" t="s">
        <v>567</v>
      </c>
      <c r="Y17" s="20" t="s">
        <v>2</v>
      </c>
      <c r="Z17" s="20" t="s">
        <v>3</v>
      </c>
      <c r="AA17" s="20" t="s">
        <v>568</v>
      </c>
      <c r="AB17" s="20" t="s">
        <v>569</v>
      </c>
      <c r="AC17" s="20" t="s">
        <v>570</v>
      </c>
      <c r="AD17" s="20" t="s">
        <v>571</v>
      </c>
    </row>
    <row r="18" spans="2:30" ht="36">
      <c r="B18" s="554" t="s">
        <v>14</v>
      </c>
      <c r="C18" s="20" t="s">
        <v>16</v>
      </c>
      <c r="D18" s="20" t="s">
        <v>17</v>
      </c>
      <c r="E18" s="704" t="s">
        <v>18</v>
      </c>
      <c r="F18" s="20" t="s">
        <v>19</v>
      </c>
      <c r="G18" s="20" t="s">
        <v>20</v>
      </c>
      <c r="H18" s="20" t="s">
        <v>30</v>
      </c>
      <c r="I18" s="20" t="s">
        <v>29</v>
      </c>
      <c r="J18" s="20" t="s">
        <v>21</v>
      </c>
      <c r="K18" s="20" t="s">
        <v>22</v>
      </c>
      <c r="L18" s="20" t="s">
        <v>608</v>
      </c>
      <c r="M18" s="20" t="s">
        <v>607</v>
      </c>
      <c r="N18" s="555" t="s">
        <v>25</v>
      </c>
      <c r="O18" s="20" t="s">
        <v>32</v>
      </c>
      <c r="Q18" s="554" t="s">
        <v>14</v>
      </c>
      <c r="R18" s="1014" t="s">
        <v>1387</v>
      </c>
      <c r="S18" s="1014" t="s">
        <v>1388</v>
      </c>
      <c r="T18" s="20" t="s">
        <v>18</v>
      </c>
      <c r="U18" s="20" t="s">
        <v>19</v>
      </c>
      <c r="V18" s="20" t="s">
        <v>20</v>
      </c>
      <c r="W18" s="20" t="s">
        <v>30</v>
      </c>
      <c r="X18" s="20" t="s">
        <v>29</v>
      </c>
      <c r="Y18" s="20" t="s">
        <v>21</v>
      </c>
      <c r="Z18" s="20" t="s">
        <v>22</v>
      </c>
      <c r="AA18" s="20" t="s">
        <v>608</v>
      </c>
      <c r="AB18" s="20" t="s">
        <v>607</v>
      </c>
      <c r="AC18" s="555" t="s">
        <v>25</v>
      </c>
      <c r="AD18" s="20" t="s">
        <v>32</v>
      </c>
    </row>
    <row r="19" spans="2:30">
      <c r="B19" s="553" t="s">
        <v>15</v>
      </c>
      <c r="C19" s="835" t="s">
        <v>1115</v>
      </c>
      <c r="D19" s="835" t="s">
        <v>1115</v>
      </c>
      <c r="E19" s="835" t="s">
        <v>172</v>
      </c>
      <c r="F19" s="5" t="s">
        <v>10</v>
      </c>
      <c r="G19" s="5" t="s">
        <v>10</v>
      </c>
      <c r="H19" s="5" t="s">
        <v>11</v>
      </c>
      <c r="I19" s="5" t="s">
        <v>11</v>
      </c>
      <c r="J19" s="5" t="s">
        <v>10</v>
      </c>
      <c r="K19" s="5" t="s">
        <v>10</v>
      </c>
      <c r="L19" s="5" t="s">
        <v>11</v>
      </c>
      <c r="M19" s="5" t="s">
        <v>11</v>
      </c>
      <c r="N19" s="5" t="s">
        <v>11</v>
      </c>
      <c r="O19" s="553" t="s">
        <v>31</v>
      </c>
      <c r="Q19" s="553" t="s">
        <v>15</v>
      </c>
      <c r="R19" s="835" t="s">
        <v>1115</v>
      </c>
      <c r="S19" s="835" t="s">
        <v>1115</v>
      </c>
      <c r="T19" s="835" t="s">
        <v>172</v>
      </c>
      <c r="U19" s="5" t="s">
        <v>10</v>
      </c>
      <c r="V19" s="5" t="s">
        <v>10</v>
      </c>
      <c r="W19" s="5" t="s">
        <v>11</v>
      </c>
      <c r="X19" s="5" t="s">
        <v>11</v>
      </c>
      <c r="Y19" s="5" t="s">
        <v>10</v>
      </c>
      <c r="Z19" s="5" t="s">
        <v>10</v>
      </c>
      <c r="AA19" s="5" t="s">
        <v>11</v>
      </c>
      <c r="AB19" s="5" t="s">
        <v>11</v>
      </c>
      <c r="AC19" s="5" t="s">
        <v>11</v>
      </c>
      <c r="AD19" s="553" t="s">
        <v>31</v>
      </c>
    </row>
    <row r="20" spans="2:30">
      <c r="B20" s="553">
        <v>1</v>
      </c>
      <c r="C20" s="3"/>
      <c r="D20" s="836">
        <f>G13</f>
        <v>0</v>
      </c>
      <c r="E20" s="837">
        <f>温度条件他根拠!E21</f>
        <v>0</v>
      </c>
      <c r="F20" s="838">
        <v>0</v>
      </c>
      <c r="G20" s="839">
        <f>0.8*(温度条件他根拠!$E$10-温度条件他根拠!E8)/(温度条件他根拠!$E$10-温度条件他根拠!$E$8)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553">
        <v>1</v>
      </c>
      <c r="R20" s="3"/>
      <c r="S20" s="836">
        <f>G8*G12</f>
        <v>0</v>
      </c>
      <c r="T20" s="837">
        <f>温度条件他根拠!E21</f>
        <v>0</v>
      </c>
      <c r="U20" s="838">
        <f>F20</f>
        <v>0</v>
      </c>
      <c r="V20" s="1001">
        <f>G20</f>
        <v>0.79999999999999993</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553">
        <v>2</v>
      </c>
      <c r="C21" s="3"/>
      <c r="D21" s="3"/>
      <c r="E21" s="838">
        <f>E20</f>
        <v>0</v>
      </c>
      <c r="F21" s="838">
        <v>0</v>
      </c>
      <c r="G21" s="839">
        <f>0.8*(温度条件他根拠!$E$10-0)/(温度条件他根拠!$E$10-温度条件他根拠!$E$8)</f>
        <v>0.77294685990338163</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553">
        <v>2</v>
      </c>
      <c r="R21" s="3"/>
      <c r="S21" s="3"/>
      <c r="T21" s="838">
        <f>T20</f>
        <v>0</v>
      </c>
      <c r="U21" s="838">
        <f t="shared" ref="U21:V31" si="9">F21</f>
        <v>0</v>
      </c>
      <c r="V21" s="1001">
        <f t="shared" si="9"/>
        <v>0.77294685990338163</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553">
        <v>3</v>
      </c>
      <c r="C22" s="3"/>
      <c r="D22" s="3"/>
      <c r="E22" s="838">
        <f>E21</f>
        <v>0</v>
      </c>
      <c r="F22" s="838">
        <v>0</v>
      </c>
      <c r="G22" s="839">
        <f>0.8*(温度条件他根拠!$E$10-3.1)/(温度条件他根拠!$E$10-温度条件他根拠!$E$8)</f>
        <v>0.65314009661835748</v>
      </c>
      <c r="H22" s="7">
        <f t="shared" si="5"/>
        <v>0</v>
      </c>
      <c r="I22" s="7">
        <f t="shared" si="6"/>
        <v>0</v>
      </c>
      <c r="J22" s="2">
        <f>J21</f>
        <v>3.55</v>
      </c>
      <c r="K22" s="6">
        <f>K21</f>
        <v>3.95</v>
      </c>
      <c r="L22" s="7">
        <f t="shared" si="1"/>
        <v>0</v>
      </c>
      <c r="M22" s="7">
        <f t="shared" si="1"/>
        <v>0</v>
      </c>
      <c r="N22" s="13">
        <f t="shared" si="7"/>
        <v>0</v>
      </c>
      <c r="O22" s="12">
        <f t="shared" si="8"/>
        <v>0</v>
      </c>
      <c r="Q22" s="553">
        <v>3</v>
      </c>
      <c r="R22" s="3"/>
      <c r="S22" s="3"/>
      <c r="T22" s="838">
        <f t="shared" ref="T22:T31" si="12">T21</f>
        <v>0</v>
      </c>
      <c r="U22" s="838">
        <f t="shared" si="9"/>
        <v>0</v>
      </c>
      <c r="V22" s="1001">
        <f t="shared" si="9"/>
        <v>0.65314009661835748</v>
      </c>
      <c r="W22" s="7">
        <f t="shared" si="2"/>
        <v>0</v>
      </c>
      <c r="X22" s="7">
        <f t="shared" si="3"/>
        <v>0</v>
      </c>
      <c r="Y22" s="2">
        <f>Y21</f>
        <v>3.55</v>
      </c>
      <c r="Z22" s="6">
        <f>Z21</f>
        <v>3.95</v>
      </c>
      <c r="AA22" s="7">
        <f t="shared" si="4"/>
        <v>0</v>
      </c>
      <c r="AB22" s="7">
        <f t="shared" si="4"/>
        <v>0</v>
      </c>
      <c r="AC22" s="13">
        <f t="shared" si="10"/>
        <v>0</v>
      </c>
      <c r="AD22" s="12">
        <f t="shared" si="11"/>
        <v>0</v>
      </c>
    </row>
    <row r="23" spans="2:30">
      <c r="B23" s="553">
        <v>4</v>
      </c>
      <c r="C23" s="3"/>
      <c r="D23" s="3"/>
      <c r="E23" s="838">
        <f t="shared" ref="E23:E31" si="13">E22</f>
        <v>0</v>
      </c>
      <c r="F23" s="838">
        <v>0</v>
      </c>
      <c r="G23" s="839">
        <f>0.8*(温度条件他根拠!$E$10-8.4)/(温度条件他根拠!$E$10-温度条件他根拠!$E$8)</f>
        <v>0.44830917874396131</v>
      </c>
      <c r="H23" s="7">
        <f t="shared" si="5"/>
        <v>0</v>
      </c>
      <c r="I23" s="7">
        <f t="shared" si="6"/>
        <v>0</v>
      </c>
      <c r="J23" s="2">
        <f t="shared" ref="J23:K31" si="14">J22</f>
        <v>3.55</v>
      </c>
      <c r="K23" s="6">
        <f t="shared" si="14"/>
        <v>3.95</v>
      </c>
      <c r="L23" s="7">
        <f t="shared" si="1"/>
        <v>0</v>
      </c>
      <c r="M23" s="7">
        <f t="shared" si="1"/>
        <v>0</v>
      </c>
      <c r="N23" s="13">
        <f t="shared" si="7"/>
        <v>0</v>
      </c>
      <c r="O23" s="12">
        <f t="shared" si="8"/>
        <v>0</v>
      </c>
      <c r="Q23" s="553">
        <v>4</v>
      </c>
      <c r="R23" s="3"/>
      <c r="S23" s="3"/>
      <c r="T23" s="838">
        <f t="shared" si="12"/>
        <v>0</v>
      </c>
      <c r="U23" s="838">
        <f t="shared" si="9"/>
        <v>0</v>
      </c>
      <c r="V23" s="1001">
        <f t="shared" si="9"/>
        <v>0.44830917874396131</v>
      </c>
      <c r="W23" s="7">
        <f t="shared" si="2"/>
        <v>0</v>
      </c>
      <c r="X23" s="7">
        <f t="shared" si="3"/>
        <v>0</v>
      </c>
      <c r="Y23" s="2">
        <f t="shared" ref="Y23:Z31" si="15">Y22</f>
        <v>3.55</v>
      </c>
      <c r="Z23" s="6">
        <f t="shared" si="15"/>
        <v>3.95</v>
      </c>
      <c r="AA23" s="7">
        <f t="shared" si="4"/>
        <v>0</v>
      </c>
      <c r="AB23" s="7">
        <f t="shared" si="4"/>
        <v>0</v>
      </c>
      <c r="AC23" s="13">
        <f t="shared" si="10"/>
        <v>0</v>
      </c>
      <c r="AD23" s="12">
        <f t="shared" si="11"/>
        <v>0</v>
      </c>
    </row>
    <row r="24" spans="2:30">
      <c r="B24" s="553">
        <v>5</v>
      </c>
      <c r="C24" s="3"/>
      <c r="D24" s="3"/>
      <c r="E24" s="838">
        <f t="shared" si="13"/>
        <v>0</v>
      </c>
      <c r="F24" s="839">
        <f>0.175*(温度条件他根拠!$E$7-温度条件他根拠!$E$9)/(温度条件他根拠!$E$7-23.9)</f>
        <v>8.5312499999999958E-2</v>
      </c>
      <c r="G24" s="839">
        <f>0.2*(温度条件他根拠!$E$10-13.4)/(温度条件他根拠!$E$10-温度条件他根拠!$E$8)</f>
        <v>6.3768115942028997E-2</v>
      </c>
      <c r="H24" s="836">
        <f>$C$27*E24*F24/1000</f>
        <v>0</v>
      </c>
      <c r="I24" s="836">
        <f>G24*E24*$D$20/1000</f>
        <v>0</v>
      </c>
      <c r="J24" s="2">
        <f t="shared" si="14"/>
        <v>3.55</v>
      </c>
      <c r="K24" s="6">
        <f t="shared" si="14"/>
        <v>3.95</v>
      </c>
      <c r="L24" s="7">
        <f t="shared" si="1"/>
        <v>0</v>
      </c>
      <c r="M24" s="7">
        <f t="shared" si="1"/>
        <v>0</v>
      </c>
      <c r="N24" s="13">
        <f t="shared" si="7"/>
        <v>0</v>
      </c>
      <c r="O24" s="12">
        <f t="shared" si="8"/>
        <v>0</v>
      </c>
      <c r="Q24" s="553">
        <v>5</v>
      </c>
      <c r="R24" s="3"/>
      <c r="S24" s="3"/>
      <c r="T24" s="838">
        <f t="shared" si="12"/>
        <v>0</v>
      </c>
      <c r="U24" s="1001">
        <f t="shared" si="9"/>
        <v>8.5312499999999958E-2</v>
      </c>
      <c r="V24" s="1001">
        <f t="shared" si="9"/>
        <v>6.3768115942028997E-2</v>
      </c>
      <c r="W24" s="836">
        <f t="shared" si="2"/>
        <v>0</v>
      </c>
      <c r="X24" s="836">
        <f t="shared" si="3"/>
        <v>0</v>
      </c>
      <c r="Y24" s="2">
        <f t="shared" si="15"/>
        <v>3.55</v>
      </c>
      <c r="Z24" s="6">
        <f t="shared" si="15"/>
        <v>3.95</v>
      </c>
      <c r="AA24" s="7">
        <f t="shared" si="4"/>
        <v>0</v>
      </c>
      <c r="AB24" s="7">
        <f t="shared" si="4"/>
        <v>0</v>
      </c>
      <c r="AC24" s="13">
        <f t="shared" si="10"/>
        <v>0</v>
      </c>
      <c r="AD24" s="12">
        <f t="shared" si="11"/>
        <v>0</v>
      </c>
    </row>
    <row r="25" spans="2:30">
      <c r="B25" s="553">
        <v>6</v>
      </c>
      <c r="C25" s="3"/>
      <c r="D25" s="3"/>
      <c r="E25" s="838">
        <f t="shared" si="13"/>
        <v>0</v>
      </c>
      <c r="F25" s="839">
        <f>0.7*(温度条件他根拠!$E$7-温度条件他根拠!$E$9)/(温度条件他根拠!$E$7-26.4)</f>
        <v>0.49636363636363612</v>
      </c>
      <c r="G25" s="838">
        <v>0</v>
      </c>
      <c r="H25" s="7">
        <f t="shared" si="5"/>
        <v>0</v>
      </c>
      <c r="I25" s="7">
        <f t="shared" si="6"/>
        <v>0</v>
      </c>
      <c r="J25" s="2">
        <f t="shared" si="14"/>
        <v>3.55</v>
      </c>
      <c r="K25" s="6">
        <f t="shared" si="14"/>
        <v>3.95</v>
      </c>
      <c r="L25" s="7">
        <f t="shared" si="1"/>
        <v>0</v>
      </c>
      <c r="M25" s="7">
        <f t="shared" si="1"/>
        <v>0</v>
      </c>
      <c r="N25" s="13">
        <f t="shared" si="7"/>
        <v>0</v>
      </c>
      <c r="O25" s="12">
        <f t="shared" si="8"/>
        <v>0</v>
      </c>
      <c r="Q25" s="553">
        <v>6</v>
      </c>
      <c r="R25" s="3"/>
      <c r="S25" s="3"/>
      <c r="T25" s="838">
        <f t="shared" si="12"/>
        <v>0</v>
      </c>
      <c r="U25" s="1001">
        <f t="shared" si="9"/>
        <v>0.49636363636363612</v>
      </c>
      <c r="V25" s="838">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553">
        <v>7</v>
      </c>
      <c r="C26" s="3"/>
      <c r="D26" s="3"/>
      <c r="E26" s="838">
        <f t="shared" si="13"/>
        <v>0</v>
      </c>
      <c r="F26" s="839">
        <f>0.7*(温度条件他根拠!$E$7-温度条件他根拠!$E$9)/(温度条件他根拠!$E$7-28)</f>
        <v>0.7</v>
      </c>
      <c r="G26" s="838">
        <v>0</v>
      </c>
      <c r="H26" s="7">
        <f t="shared" si="5"/>
        <v>0</v>
      </c>
      <c r="I26" s="7">
        <f t="shared" si="6"/>
        <v>0</v>
      </c>
      <c r="J26" s="2">
        <f t="shared" si="14"/>
        <v>3.55</v>
      </c>
      <c r="K26" s="6">
        <f t="shared" si="14"/>
        <v>3.95</v>
      </c>
      <c r="L26" s="7">
        <f t="shared" si="1"/>
        <v>0</v>
      </c>
      <c r="M26" s="7">
        <f t="shared" si="1"/>
        <v>0</v>
      </c>
      <c r="N26" s="13">
        <f t="shared" si="7"/>
        <v>0</v>
      </c>
      <c r="O26" s="12">
        <f t="shared" si="8"/>
        <v>0</v>
      </c>
      <c r="Q26" s="553">
        <v>7</v>
      </c>
      <c r="R26" s="3"/>
      <c r="S26" s="3"/>
      <c r="T26" s="838">
        <f t="shared" si="12"/>
        <v>0</v>
      </c>
      <c r="U26" s="1001">
        <f t="shared" si="9"/>
        <v>0.7</v>
      </c>
      <c r="V26" s="838">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553">
        <v>8</v>
      </c>
      <c r="C27" s="836">
        <f>D13</f>
        <v>0</v>
      </c>
      <c r="D27" s="3"/>
      <c r="E27" s="838">
        <f t="shared" si="13"/>
        <v>0</v>
      </c>
      <c r="F27" s="839">
        <f>0.7*(温度条件他根拠!$E$7-温度条件他根拠!$E$9)/(温度条件他根拠!$E$7-28)</f>
        <v>0.7</v>
      </c>
      <c r="G27" s="838">
        <v>0</v>
      </c>
      <c r="H27" s="7">
        <f t="shared" si="5"/>
        <v>0</v>
      </c>
      <c r="I27" s="7">
        <f t="shared" si="6"/>
        <v>0</v>
      </c>
      <c r="J27" s="2">
        <f t="shared" si="14"/>
        <v>3.55</v>
      </c>
      <c r="K27" s="6">
        <f t="shared" si="14"/>
        <v>3.95</v>
      </c>
      <c r="L27" s="7">
        <f t="shared" si="1"/>
        <v>0</v>
      </c>
      <c r="M27" s="7">
        <f t="shared" si="1"/>
        <v>0</v>
      </c>
      <c r="N27" s="13">
        <f t="shared" si="7"/>
        <v>0</v>
      </c>
      <c r="O27" s="12">
        <f t="shared" si="8"/>
        <v>0</v>
      </c>
      <c r="Q27" s="553">
        <v>8</v>
      </c>
      <c r="R27" s="836">
        <f>E8*D12</f>
        <v>0</v>
      </c>
      <c r="S27" s="3"/>
      <c r="T27" s="838">
        <f t="shared" si="12"/>
        <v>0</v>
      </c>
      <c r="U27" s="1001">
        <f t="shared" si="9"/>
        <v>0.7</v>
      </c>
      <c r="V27" s="838">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553">
        <v>9</v>
      </c>
      <c r="C28" s="3"/>
      <c r="D28" s="3"/>
      <c r="E28" s="838">
        <f t="shared" si="13"/>
        <v>0</v>
      </c>
      <c r="F28" s="839">
        <f>0.7*(温度条件他根拠!$E$7-温度条件他根拠!$E$9)/(温度条件他根拠!$E$7-27.2)</f>
        <v>0.58085106382978702</v>
      </c>
      <c r="G28" s="838">
        <v>0</v>
      </c>
      <c r="H28" s="7">
        <f t="shared" si="5"/>
        <v>0</v>
      </c>
      <c r="I28" s="7">
        <f t="shared" si="6"/>
        <v>0</v>
      </c>
      <c r="J28" s="2">
        <f t="shared" si="14"/>
        <v>3.55</v>
      </c>
      <c r="K28" s="6">
        <f t="shared" si="14"/>
        <v>3.95</v>
      </c>
      <c r="L28" s="7">
        <f t="shared" si="1"/>
        <v>0</v>
      </c>
      <c r="M28" s="7">
        <f t="shared" si="1"/>
        <v>0</v>
      </c>
      <c r="N28" s="13">
        <f t="shared" si="7"/>
        <v>0</v>
      </c>
      <c r="O28" s="12">
        <f t="shared" si="8"/>
        <v>0</v>
      </c>
      <c r="Q28" s="553">
        <v>9</v>
      </c>
      <c r="R28" s="3"/>
      <c r="S28" s="3"/>
      <c r="T28" s="838">
        <f t="shared" si="12"/>
        <v>0</v>
      </c>
      <c r="U28" s="1001">
        <f t="shared" si="9"/>
        <v>0.58085106382978702</v>
      </c>
      <c r="V28" s="838">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553">
        <v>10</v>
      </c>
      <c r="C29" s="3"/>
      <c r="D29" s="3"/>
      <c r="E29" s="838">
        <f t="shared" si="13"/>
        <v>0</v>
      </c>
      <c r="F29" s="839">
        <f>0.175*(温度条件他根拠!$E$7-温度条件他根拠!$E$9)/(温度条件他根拠!$E$7-21.7)</f>
        <v>6.6911764705882323E-2</v>
      </c>
      <c r="G29" s="839">
        <f>0.2*(温度条件他根拠!$E$10-13)/(温度条件他根拠!$E$10-温度条件他根拠!$E$8)</f>
        <v>6.7632850241545903E-2</v>
      </c>
      <c r="H29" s="836">
        <f>($C$27*E29*F29/1000)</f>
        <v>0</v>
      </c>
      <c r="I29" s="836">
        <f>(G29*E29*$D$20/1000)</f>
        <v>0</v>
      </c>
      <c r="J29" s="2">
        <f t="shared" si="14"/>
        <v>3.55</v>
      </c>
      <c r="K29" s="6">
        <f t="shared" si="14"/>
        <v>3.95</v>
      </c>
      <c r="L29" s="7">
        <f t="shared" si="1"/>
        <v>0</v>
      </c>
      <c r="M29" s="7">
        <f t="shared" si="1"/>
        <v>0</v>
      </c>
      <c r="N29" s="13">
        <f t="shared" si="7"/>
        <v>0</v>
      </c>
      <c r="O29" s="12">
        <f t="shared" si="8"/>
        <v>0</v>
      </c>
      <c r="Q29" s="553">
        <v>10</v>
      </c>
      <c r="R29" s="3"/>
      <c r="S29" s="3"/>
      <c r="T29" s="838">
        <f t="shared" si="12"/>
        <v>0</v>
      </c>
      <c r="U29" s="1001">
        <f t="shared" si="9"/>
        <v>6.6911764705882323E-2</v>
      </c>
      <c r="V29" s="1001">
        <f t="shared" si="9"/>
        <v>6.7632850241545903E-2</v>
      </c>
      <c r="W29" s="836">
        <f>($R$27*T29*U29/1000)</f>
        <v>0</v>
      </c>
      <c r="X29" s="836">
        <f>(V29*T29*$S$20/1000)</f>
        <v>0</v>
      </c>
      <c r="Y29" s="2">
        <f t="shared" si="15"/>
        <v>3.55</v>
      </c>
      <c r="Z29" s="6">
        <f t="shared" si="15"/>
        <v>3.95</v>
      </c>
      <c r="AA29" s="7">
        <f t="shared" si="4"/>
        <v>0</v>
      </c>
      <c r="AB29" s="7">
        <f t="shared" si="4"/>
        <v>0</v>
      </c>
      <c r="AC29" s="13">
        <f t="shared" si="10"/>
        <v>0</v>
      </c>
      <c r="AD29" s="12">
        <f t="shared" si="11"/>
        <v>0</v>
      </c>
    </row>
    <row r="30" spans="2:30">
      <c r="B30" s="553">
        <v>11</v>
      </c>
      <c r="C30" s="3"/>
      <c r="D30" s="3"/>
      <c r="E30" s="838">
        <f t="shared" si="13"/>
        <v>0</v>
      </c>
      <c r="F30" s="838">
        <v>0</v>
      </c>
      <c r="G30" s="839">
        <f>0.8*(温度条件他根拠!$E$10-6.7)/(温度条件他根拠!$E$10-温度条件他根拠!$E$8)</f>
        <v>0.51400966183574881</v>
      </c>
      <c r="H30" s="7">
        <f t="shared" si="5"/>
        <v>0</v>
      </c>
      <c r="I30" s="7">
        <f t="shared" si="6"/>
        <v>0</v>
      </c>
      <c r="J30" s="2">
        <f t="shared" si="14"/>
        <v>3.55</v>
      </c>
      <c r="K30" s="6">
        <f t="shared" si="14"/>
        <v>3.95</v>
      </c>
      <c r="L30" s="7">
        <f t="shared" si="1"/>
        <v>0</v>
      </c>
      <c r="M30" s="7">
        <f t="shared" si="1"/>
        <v>0</v>
      </c>
      <c r="N30" s="13">
        <f t="shared" si="7"/>
        <v>0</v>
      </c>
      <c r="O30" s="12">
        <f t="shared" si="8"/>
        <v>0</v>
      </c>
      <c r="Q30" s="553">
        <v>11</v>
      </c>
      <c r="R30" s="3"/>
      <c r="S30" s="3"/>
      <c r="T30" s="838">
        <f t="shared" si="12"/>
        <v>0</v>
      </c>
      <c r="U30" s="838">
        <f t="shared" si="9"/>
        <v>0</v>
      </c>
      <c r="V30" s="1001">
        <f t="shared" si="9"/>
        <v>0.51400966183574881</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553">
        <v>12</v>
      </c>
      <c r="C31" s="3"/>
      <c r="D31" s="3"/>
      <c r="E31" s="838">
        <f t="shared" si="13"/>
        <v>0</v>
      </c>
      <c r="F31" s="838">
        <v>0</v>
      </c>
      <c r="G31" s="839">
        <f>0.8*(温度条件他根拠!$E$10-1.6)/(温度条件他根拠!$E$10-温度条件他根拠!$E$8)</f>
        <v>0.71111111111111103</v>
      </c>
      <c r="H31" s="7">
        <f t="shared" si="5"/>
        <v>0</v>
      </c>
      <c r="I31" s="7">
        <f t="shared" si="6"/>
        <v>0</v>
      </c>
      <c r="J31" s="2">
        <f t="shared" si="14"/>
        <v>3.55</v>
      </c>
      <c r="K31" s="6">
        <f t="shared" si="14"/>
        <v>3.95</v>
      </c>
      <c r="L31" s="7">
        <f t="shared" si="1"/>
        <v>0</v>
      </c>
      <c r="M31" s="7">
        <f t="shared" si="1"/>
        <v>0</v>
      </c>
      <c r="N31" s="13">
        <f t="shared" si="7"/>
        <v>0</v>
      </c>
      <c r="O31" s="12">
        <f t="shared" si="8"/>
        <v>0</v>
      </c>
      <c r="Q31" s="553">
        <v>12</v>
      </c>
      <c r="R31" s="3"/>
      <c r="S31" s="3"/>
      <c r="T31" s="838">
        <f t="shared" si="12"/>
        <v>0</v>
      </c>
      <c r="U31" s="838">
        <f t="shared" si="9"/>
        <v>0</v>
      </c>
      <c r="V31" s="1001">
        <f t="shared" si="9"/>
        <v>0.71111111111111103</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836">
        <f>SUM(E20:E31)</f>
        <v>0</v>
      </c>
      <c r="F32" s="3"/>
      <c r="G32" s="3"/>
      <c r="H32" s="7">
        <f>SUM(H20:H31)</f>
        <v>0</v>
      </c>
      <c r="I32" s="7">
        <f>SUM(I20:I31)</f>
        <v>0</v>
      </c>
      <c r="J32" s="3"/>
      <c r="K32" s="3"/>
      <c r="L32" s="7">
        <f>SUM(L20:L31)</f>
        <v>0</v>
      </c>
      <c r="M32" s="7">
        <f>SUM(M20:M31)</f>
        <v>0</v>
      </c>
      <c r="N32" s="13">
        <f>SUM(N20:N31)</f>
        <v>0</v>
      </c>
      <c r="O32" s="17">
        <f>SUM(O20:O31)</f>
        <v>0</v>
      </c>
      <c r="Q32" s="2" t="s">
        <v>1</v>
      </c>
      <c r="R32" s="3"/>
      <c r="S32" s="3"/>
      <c r="T32" s="836">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1079</v>
      </c>
    </row>
    <row r="57" spans="2:3">
      <c r="B57" s="691">
        <v>43927</v>
      </c>
      <c r="C57" s="690" t="s">
        <v>866</v>
      </c>
    </row>
    <row r="58" spans="2:3">
      <c r="B58" s="691">
        <v>44634</v>
      </c>
      <c r="C58" s="690" t="s">
        <v>1119</v>
      </c>
    </row>
    <row r="59" spans="2:3">
      <c r="C59" s="690" t="s">
        <v>1120</v>
      </c>
    </row>
    <row r="60" spans="2:3">
      <c r="C60" s="1" t="s">
        <v>1121</v>
      </c>
    </row>
    <row r="61" spans="2:3">
      <c r="C61" s="1" t="s">
        <v>1133</v>
      </c>
    </row>
    <row r="62" spans="2:3">
      <c r="C62" s="1" t="s">
        <v>1134</v>
      </c>
    </row>
  </sheetData>
  <mergeCells count="13">
    <mergeCell ref="B2:O2"/>
    <mergeCell ref="B16:O16"/>
    <mergeCell ref="B5:C6"/>
    <mergeCell ref="D5:F5"/>
    <mergeCell ref="G5:G6"/>
    <mergeCell ref="H5:N6"/>
    <mergeCell ref="H7:N10"/>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ignoredErrors>
    <ignoredError sqref="H29:I29" formula="1"/>
    <ignoredError sqref="W20:X28 W30:X31" evalError="1"/>
    <ignoredError sqref="W29:X29" evalError="1" 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C4308-809E-4F74-886A-72FDBF160CCD}">
  <sheetPr codeName="Sheet28">
    <tabColor rgb="FF92D050"/>
  </sheetPr>
  <dimension ref="B1:AD62"/>
  <sheetViews>
    <sheetView topLeftCell="K10" workbookViewId="0">
      <selection activeCell="C67" sqref="C67"/>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5">
      <c r="B1" s="155">
        <f>温度条件他根拠!E6</f>
        <v>2</v>
      </c>
      <c r="C1" s="705" t="str">
        <f ca="1">RIGHT(CELL("filename",C1),LEN(CELL("filename",C1))-FIND("]",CELL("filename",C1)))</f>
        <v>熊谷市屋根断熱</v>
      </c>
      <c r="D1" s="81"/>
      <c r="E1" s="81"/>
      <c r="F1" s="81"/>
      <c r="G1" s="81"/>
      <c r="H1" s="81"/>
      <c r="I1" s="81"/>
      <c r="J1" s="81"/>
      <c r="K1" s="81"/>
      <c r="L1" s="81"/>
      <c r="M1" s="81"/>
      <c r="N1" s="81"/>
      <c r="O1" s="81"/>
    </row>
    <row r="2" spans="2:15">
      <c r="B2" s="2080"/>
      <c r="C2" s="2080"/>
      <c r="D2" s="2080"/>
      <c r="E2" s="2080"/>
      <c r="F2" s="2080"/>
      <c r="G2" s="2080"/>
      <c r="H2" s="2080"/>
      <c r="I2" s="2080"/>
      <c r="J2" s="2080"/>
      <c r="K2" s="2080"/>
      <c r="L2" s="2080"/>
      <c r="M2" s="2080"/>
      <c r="N2" s="2080"/>
      <c r="O2" s="2080"/>
    </row>
    <row r="3" spans="2:15">
      <c r="B3" s="892"/>
      <c r="C3" s="892"/>
      <c r="D3" s="892"/>
      <c r="E3" s="892"/>
      <c r="F3" s="892"/>
      <c r="G3" s="892"/>
      <c r="H3" s="892"/>
      <c r="I3" s="892"/>
      <c r="J3" s="892"/>
      <c r="K3" s="892"/>
      <c r="L3" s="892"/>
      <c r="M3" s="892"/>
      <c r="N3" s="892"/>
      <c r="O3" s="892"/>
    </row>
    <row r="4" spans="2:15">
      <c r="B4" s="820" t="s">
        <v>1093</v>
      </c>
      <c r="C4" s="821"/>
      <c r="D4" s="822"/>
      <c r="E4" s="823"/>
      <c r="F4" s="821"/>
      <c r="G4" s="821"/>
      <c r="H4" s="821"/>
      <c r="I4" s="824"/>
      <c r="J4" s="824"/>
      <c r="K4" s="824"/>
      <c r="L4" s="824"/>
      <c r="M4" s="824"/>
      <c r="N4" s="824"/>
      <c r="O4" s="892"/>
    </row>
    <row r="5" spans="2:15">
      <c r="B5" s="2065" t="s">
        <v>1094</v>
      </c>
      <c r="C5" s="2065"/>
      <c r="D5" s="2065" t="s">
        <v>1095</v>
      </c>
      <c r="E5" s="2065"/>
      <c r="F5" s="2065"/>
      <c r="G5" s="2066" t="s">
        <v>1096</v>
      </c>
      <c r="H5" s="2065" t="s">
        <v>1097</v>
      </c>
      <c r="I5" s="2065"/>
      <c r="J5" s="2065"/>
      <c r="K5" s="2065"/>
      <c r="L5" s="2065"/>
      <c r="M5" s="2065"/>
      <c r="N5" s="2065"/>
      <c r="O5" s="892"/>
    </row>
    <row r="6" spans="2:15">
      <c r="B6" s="2065"/>
      <c r="C6" s="2065"/>
      <c r="D6" s="825" t="s">
        <v>1098</v>
      </c>
      <c r="E6" s="825" t="s">
        <v>1099</v>
      </c>
      <c r="F6" s="825" t="s">
        <v>1100</v>
      </c>
      <c r="G6" s="2065"/>
      <c r="H6" s="2065"/>
      <c r="I6" s="2065"/>
      <c r="J6" s="2065"/>
      <c r="K6" s="2065"/>
      <c r="L6" s="2065"/>
      <c r="M6" s="2065"/>
      <c r="N6" s="2065"/>
      <c r="O6" s="892"/>
    </row>
    <row r="7" spans="2:15" ht="13" customHeight="1">
      <c r="B7" s="826" t="s">
        <v>1101</v>
      </c>
      <c r="C7" s="827" t="s">
        <v>1102</v>
      </c>
      <c r="D7" s="828">
        <f>結果!H30</f>
        <v>0</v>
      </c>
      <c r="E7" s="828">
        <f>結果!J30</f>
        <v>0</v>
      </c>
      <c r="F7" s="828">
        <f>結果!L30</f>
        <v>0</v>
      </c>
      <c r="G7" s="828">
        <f>結果!Q30</f>
        <v>0</v>
      </c>
      <c r="H7" s="2067" t="s">
        <v>1158</v>
      </c>
      <c r="I7" s="2067"/>
      <c r="J7" s="2067"/>
      <c r="K7" s="2067"/>
      <c r="L7" s="2067"/>
      <c r="M7" s="2067"/>
      <c r="N7" s="2067"/>
      <c r="O7" s="892"/>
    </row>
    <row r="8" spans="2:15" ht="13" customHeight="1">
      <c r="B8" s="826" t="s">
        <v>1386</v>
      </c>
      <c r="C8" s="1008"/>
      <c r="D8" s="1005"/>
      <c r="E8" s="1006">
        <f>MAX(D7:F7)</f>
        <v>0</v>
      </c>
      <c r="F8" s="1002"/>
      <c r="G8" s="1002">
        <f>G7</f>
        <v>0</v>
      </c>
      <c r="H8" s="2067"/>
      <c r="I8" s="2067"/>
      <c r="J8" s="2067"/>
      <c r="K8" s="2067"/>
      <c r="L8" s="2067"/>
      <c r="M8" s="2067"/>
      <c r="N8" s="2067"/>
      <c r="O8" s="995"/>
    </row>
    <row r="9" spans="2:15">
      <c r="B9" s="826" t="s">
        <v>1104</v>
      </c>
      <c r="C9" s="827" t="s">
        <v>1105</v>
      </c>
      <c r="D9" s="828">
        <f>結果!H70</f>
        <v>0</v>
      </c>
      <c r="E9" s="828">
        <f>結果!J70</f>
        <v>0</v>
      </c>
      <c r="F9" s="828">
        <f>結果!L70</f>
        <v>0</v>
      </c>
      <c r="G9" s="829">
        <f>結果!Q70</f>
        <v>0</v>
      </c>
      <c r="H9" s="2067"/>
      <c r="I9" s="2067"/>
      <c r="J9" s="2067"/>
      <c r="K9" s="2067"/>
      <c r="L9" s="2067"/>
      <c r="M9" s="2067"/>
      <c r="N9" s="2067"/>
      <c r="O9" s="892"/>
    </row>
    <row r="10" spans="2:15">
      <c r="B10" s="826" t="s">
        <v>1106</v>
      </c>
      <c r="C10" s="827" t="s">
        <v>1107</v>
      </c>
      <c r="D10" s="829">
        <f>D7-D9</f>
        <v>0</v>
      </c>
      <c r="E10" s="829">
        <f t="shared" ref="E10:G10" si="0">E7-E9</f>
        <v>0</v>
      </c>
      <c r="F10" s="829">
        <f t="shared" si="0"/>
        <v>0</v>
      </c>
      <c r="G10" s="829">
        <f t="shared" si="0"/>
        <v>0</v>
      </c>
      <c r="H10" s="2067"/>
      <c r="I10" s="2067"/>
      <c r="J10" s="2067"/>
      <c r="K10" s="2067"/>
      <c r="L10" s="2067"/>
      <c r="M10" s="2067"/>
      <c r="N10" s="2067"/>
      <c r="O10" s="892"/>
    </row>
    <row r="11" spans="2:15" ht="36">
      <c r="B11" s="994" t="s">
        <v>1385</v>
      </c>
      <c r="C11" s="830" t="s">
        <v>1108</v>
      </c>
      <c r="D11" s="2068">
        <f>MAX(D10:F10)</f>
        <v>0</v>
      </c>
      <c r="E11" s="2068"/>
      <c r="F11" s="2068"/>
      <c r="G11" s="829">
        <f>MAX(G10)</f>
        <v>0</v>
      </c>
      <c r="H11" s="2067" t="s">
        <v>1109</v>
      </c>
      <c r="I11" s="2067"/>
      <c r="J11" s="2067"/>
      <c r="K11" s="2067"/>
      <c r="L11" s="2067"/>
      <c r="M11" s="2067"/>
      <c r="N11" s="2067"/>
      <c r="O11" s="892"/>
    </row>
    <row r="12" spans="2:15" ht="24" customHeight="1">
      <c r="B12" s="830" t="s">
        <v>1110</v>
      </c>
      <c r="C12" s="830" t="s">
        <v>1141</v>
      </c>
      <c r="D12" s="2068">
        <f>温度条件他根拠!E29</f>
        <v>0</v>
      </c>
      <c r="E12" s="2068"/>
      <c r="F12" s="2068"/>
      <c r="G12" s="829">
        <f>D12</f>
        <v>0</v>
      </c>
      <c r="H12" s="2075" t="s">
        <v>1135</v>
      </c>
      <c r="I12" s="2075"/>
      <c r="J12" s="2075"/>
      <c r="K12" s="2075"/>
      <c r="L12" s="2075"/>
      <c r="M12" s="2075"/>
      <c r="N12" s="2075"/>
      <c r="O12" s="892"/>
    </row>
    <row r="13" spans="2:15" ht="60">
      <c r="B13" s="830" t="s">
        <v>1113</v>
      </c>
      <c r="C13" s="830" t="s">
        <v>1114</v>
      </c>
      <c r="D13" s="2069">
        <f>D12*D11</f>
        <v>0</v>
      </c>
      <c r="E13" s="2070"/>
      <c r="F13" s="2071"/>
      <c r="G13" s="829">
        <f>G12*G11</f>
        <v>0</v>
      </c>
      <c r="H13" s="2072"/>
      <c r="I13" s="2073"/>
      <c r="J13" s="2073"/>
      <c r="K13" s="2073"/>
      <c r="L13" s="2073"/>
      <c r="M13" s="2073"/>
      <c r="N13" s="2074"/>
      <c r="O13" s="892"/>
    </row>
    <row r="14" spans="2:15">
      <c r="B14" s="892"/>
      <c r="C14" s="892"/>
      <c r="D14" s="892"/>
      <c r="E14" s="892"/>
      <c r="F14" s="892"/>
      <c r="G14" s="892"/>
      <c r="H14" s="892"/>
      <c r="I14" s="892"/>
      <c r="J14" s="892"/>
      <c r="K14" s="892"/>
      <c r="L14" s="892"/>
      <c r="M14" s="892"/>
      <c r="N14" s="892"/>
      <c r="O14" s="892"/>
    </row>
    <row r="15" spans="2:15">
      <c r="B15" s="892"/>
      <c r="C15" s="892"/>
      <c r="D15" s="892"/>
      <c r="E15" s="892"/>
      <c r="F15" s="892"/>
      <c r="G15" s="892"/>
      <c r="H15" s="892"/>
      <c r="I15" s="892"/>
      <c r="J15" s="892"/>
      <c r="K15" s="892"/>
      <c r="L15" s="892"/>
      <c r="M15" s="892"/>
      <c r="N15" s="892"/>
      <c r="O15" s="892"/>
    </row>
    <row r="16" spans="2:15">
      <c r="B16" s="1129" t="s">
        <v>183</v>
      </c>
      <c r="C16" s="1129"/>
      <c r="D16" s="1129"/>
      <c r="E16" s="1129"/>
      <c r="F16" s="1129"/>
      <c r="G16" s="1129"/>
      <c r="H16" s="1129"/>
      <c r="I16" s="1129"/>
      <c r="J16" s="1129"/>
      <c r="K16" s="1129"/>
      <c r="L16" s="1129"/>
      <c r="M16" s="1129"/>
      <c r="N16" s="1129"/>
      <c r="O16" s="1129"/>
    </row>
    <row r="17" spans="2:30" ht="36">
      <c r="B17" s="801" t="s">
        <v>0</v>
      </c>
      <c r="C17" s="814" t="s">
        <v>1117</v>
      </c>
      <c r="D17" s="814" t="s">
        <v>1118</v>
      </c>
      <c r="E17" s="814" t="s">
        <v>1116</v>
      </c>
      <c r="F17" s="20" t="s">
        <v>42</v>
      </c>
      <c r="G17" s="20" t="s">
        <v>43</v>
      </c>
      <c r="H17" s="18" t="s">
        <v>35</v>
      </c>
      <c r="I17" s="18" t="s">
        <v>36</v>
      </c>
      <c r="J17" s="20" t="s">
        <v>2</v>
      </c>
      <c r="K17" s="20" t="s">
        <v>3</v>
      </c>
      <c r="L17" s="20" t="s">
        <v>39</v>
      </c>
      <c r="M17" s="20" t="s">
        <v>38</v>
      </c>
      <c r="N17" s="20" t="s">
        <v>45</v>
      </c>
      <c r="O17" s="20" t="s">
        <v>44</v>
      </c>
      <c r="Q17" s="801" t="s">
        <v>0</v>
      </c>
      <c r="R17" s="1017" t="s">
        <v>1391</v>
      </c>
      <c r="S17" s="1017" t="s">
        <v>1392</v>
      </c>
      <c r="T17" s="993" t="s">
        <v>1116</v>
      </c>
      <c r="U17" s="20" t="s">
        <v>42</v>
      </c>
      <c r="V17" s="20" t="s">
        <v>43</v>
      </c>
      <c r="W17" s="18" t="s">
        <v>566</v>
      </c>
      <c r="X17" s="20" t="s">
        <v>567</v>
      </c>
      <c r="Y17" s="20" t="s">
        <v>2</v>
      </c>
      <c r="Z17" s="20" t="s">
        <v>3</v>
      </c>
      <c r="AA17" s="20" t="s">
        <v>568</v>
      </c>
      <c r="AB17" s="20" t="s">
        <v>569</v>
      </c>
      <c r="AC17" s="20" t="s">
        <v>570</v>
      </c>
      <c r="AD17" s="20" t="s">
        <v>571</v>
      </c>
    </row>
    <row r="18" spans="2:30" ht="36">
      <c r="B18" s="801" t="s">
        <v>14</v>
      </c>
      <c r="C18" s="20" t="s">
        <v>16</v>
      </c>
      <c r="D18" s="20" t="s">
        <v>17</v>
      </c>
      <c r="E18" s="704" t="s">
        <v>18</v>
      </c>
      <c r="F18" s="20" t="s">
        <v>19</v>
      </c>
      <c r="G18" s="20" t="s">
        <v>20</v>
      </c>
      <c r="H18" s="20" t="s">
        <v>30</v>
      </c>
      <c r="I18" s="20" t="s">
        <v>29</v>
      </c>
      <c r="J18" s="20" t="s">
        <v>21</v>
      </c>
      <c r="K18" s="20" t="s">
        <v>22</v>
      </c>
      <c r="L18" s="20" t="s">
        <v>608</v>
      </c>
      <c r="M18" s="20" t="s">
        <v>607</v>
      </c>
      <c r="N18" s="802" t="s">
        <v>25</v>
      </c>
      <c r="O18" s="20" t="s">
        <v>32</v>
      </c>
      <c r="Q18" s="801" t="s">
        <v>14</v>
      </c>
      <c r="R18" s="1014" t="s">
        <v>1387</v>
      </c>
      <c r="S18" s="1014" t="s">
        <v>1388</v>
      </c>
      <c r="T18" s="20" t="s">
        <v>18</v>
      </c>
      <c r="U18" s="20" t="s">
        <v>19</v>
      </c>
      <c r="V18" s="20" t="s">
        <v>20</v>
      </c>
      <c r="W18" s="20" t="s">
        <v>30</v>
      </c>
      <c r="X18" s="20" t="s">
        <v>29</v>
      </c>
      <c r="Y18" s="20" t="s">
        <v>21</v>
      </c>
      <c r="Z18" s="20" t="s">
        <v>22</v>
      </c>
      <c r="AA18" s="20" t="s">
        <v>608</v>
      </c>
      <c r="AB18" s="20" t="s">
        <v>607</v>
      </c>
      <c r="AC18" s="802" t="s">
        <v>25</v>
      </c>
      <c r="AD18" s="20" t="s">
        <v>32</v>
      </c>
    </row>
    <row r="19" spans="2:30">
      <c r="B19" s="798" t="s">
        <v>15</v>
      </c>
      <c r="C19" s="835" t="s">
        <v>1115</v>
      </c>
      <c r="D19" s="835" t="s">
        <v>1115</v>
      </c>
      <c r="E19" s="835" t="s">
        <v>172</v>
      </c>
      <c r="F19" s="5" t="s">
        <v>10</v>
      </c>
      <c r="G19" s="5" t="s">
        <v>10</v>
      </c>
      <c r="H19" s="5" t="s">
        <v>11</v>
      </c>
      <c r="I19" s="5" t="s">
        <v>11</v>
      </c>
      <c r="J19" s="5" t="s">
        <v>10</v>
      </c>
      <c r="K19" s="5" t="s">
        <v>10</v>
      </c>
      <c r="L19" s="5" t="s">
        <v>11</v>
      </c>
      <c r="M19" s="5" t="s">
        <v>11</v>
      </c>
      <c r="N19" s="5" t="s">
        <v>11</v>
      </c>
      <c r="O19" s="798" t="s">
        <v>31</v>
      </c>
      <c r="Q19" s="798" t="s">
        <v>15</v>
      </c>
      <c r="R19" s="835" t="s">
        <v>1115</v>
      </c>
      <c r="S19" s="835" t="s">
        <v>1115</v>
      </c>
      <c r="T19" s="835" t="s">
        <v>172</v>
      </c>
      <c r="U19" s="5" t="s">
        <v>10</v>
      </c>
      <c r="V19" s="5" t="s">
        <v>10</v>
      </c>
      <c r="W19" s="5" t="s">
        <v>11</v>
      </c>
      <c r="X19" s="5" t="s">
        <v>11</v>
      </c>
      <c r="Y19" s="5" t="s">
        <v>10</v>
      </c>
      <c r="Z19" s="5" t="s">
        <v>10</v>
      </c>
      <c r="AA19" s="5" t="s">
        <v>11</v>
      </c>
      <c r="AB19" s="5" t="s">
        <v>11</v>
      </c>
      <c r="AC19" s="5" t="s">
        <v>11</v>
      </c>
      <c r="AD19" s="798" t="s">
        <v>31</v>
      </c>
    </row>
    <row r="20" spans="2:30">
      <c r="B20" s="798">
        <v>1</v>
      </c>
      <c r="C20" s="3"/>
      <c r="D20" s="836">
        <f>G13</f>
        <v>0</v>
      </c>
      <c r="E20" s="837">
        <f>温度条件他根拠!E21</f>
        <v>0</v>
      </c>
      <c r="F20" s="838">
        <v>0</v>
      </c>
      <c r="G20" s="839">
        <f>0.8*(温度条件他根拠!$E$10-温度条件他根拠!E8)/(温度条件他根拠!$E$10-温度条件他根拠!$E$8)</f>
        <v>0.79999999999999993</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798">
        <v>1</v>
      </c>
      <c r="R20" s="3"/>
      <c r="S20" s="836">
        <f>G8*G12</f>
        <v>0</v>
      </c>
      <c r="T20" s="1012">
        <f>温度条件他根拠!E21</f>
        <v>0</v>
      </c>
      <c r="U20" s="838">
        <f>F20</f>
        <v>0</v>
      </c>
      <c r="V20" s="1001">
        <f>G20</f>
        <v>0.79999999999999993</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798">
        <v>2</v>
      </c>
      <c r="C21" s="3"/>
      <c r="D21" s="3"/>
      <c r="E21" s="838">
        <f>E20</f>
        <v>0</v>
      </c>
      <c r="F21" s="838">
        <v>0</v>
      </c>
      <c r="G21" s="839">
        <f>0.8*(温度条件他根拠!$E$10-0)/(温度条件他根拠!$E$10-温度条件他根拠!$E$8)</f>
        <v>0.77294685990338163</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798">
        <v>2</v>
      </c>
      <c r="R21" s="3"/>
      <c r="S21" s="3"/>
      <c r="T21" s="1013">
        <f>T20</f>
        <v>0</v>
      </c>
      <c r="U21" s="838">
        <f t="shared" ref="U21:V31" si="9">F21</f>
        <v>0</v>
      </c>
      <c r="V21" s="1001">
        <f t="shared" si="9"/>
        <v>0.77294685990338163</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798">
        <v>3</v>
      </c>
      <c r="C22" s="3"/>
      <c r="D22" s="3"/>
      <c r="E22" s="838">
        <f>E21</f>
        <v>0</v>
      </c>
      <c r="F22" s="838">
        <v>0</v>
      </c>
      <c r="G22" s="839">
        <f>0.8*(温度条件他根拠!$E$10-3.1)/(温度条件他根拠!$E$10-温度条件他根拠!$E$8)</f>
        <v>0.65314009661835748</v>
      </c>
      <c r="H22" s="7">
        <f t="shared" si="5"/>
        <v>0</v>
      </c>
      <c r="I22" s="7">
        <f t="shared" si="6"/>
        <v>0</v>
      </c>
      <c r="J22" s="2">
        <f>J21</f>
        <v>3.55</v>
      </c>
      <c r="K22" s="6">
        <f>K21</f>
        <v>3.95</v>
      </c>
      <c r="L22" s="7">
        <f t="shared" si="1"/>
        <v>0</v>
      </c>
      <c r="M22" s="7">
        <f t="shared" si="1"/>
        <v>0</v>
      </c>
      <c r="N22" s="13">
        <f t="shared" si="7"/>
        <v>0</v>
      </c>
      <c r="O22" s="12">
        <f t="shared" si="8"/>
        <v>0</v>
      </c>
      <c r="Q22" s="798">
        <v>3</v>
      </c>
      <c r="R22" s="3"/>
      <c r="S22" s="3"/>
      <c r="T22" s="1013">
        <f t="shared" ref="T22:T31" si="12">T21</f>
        <v>0</v>
      </c>
      <c r="U22" s="838">
        <f t="shared" si="9"/>
        <v>0</v>
      </c>
      <c r="V22" s="1001">
        <f t="shared" si="9"/>
        <v>0.65314009661835748</v>
      </c>
      <c r="W22" s="7">
        <f t="shared" si="2"/>
        <v>0</v>
      </c>
      <c r="X22" s="7">
        <f t="shared" si="3"/>
        <v>0</v>
      </c>
      <c r="Y22" s="2">
        <f>Y21</f>
        <v>3.55</v>
      </c>
      <c r="Z22" s="6">
        <f>Z21</f>
        <v>3.95</v>
      </c>
      <c r="AA22" s="7">
        <f t="shared" si="4"/>
        <v>0</v>
      </c>
      <c r="AB22" s="7">
        <f t="shared" si="4"/>
        <v>0</v>
      </c>
      <c r="AC22" s="13">
        <f t="shared" si="10"/>
        <v>0</v>
      </c>
      <c r="AD22" s="12">
        <f t="shared" si="11"/>
        <v>0</v>
      </c>
    </row>
    <row r="23" spans="2:30">
      <c r="B23" s="798">
        <v>4</v>
      </c>
      <c r="C23" s="3"/>
      <c r="D23" s="3"/>
      <c r="E23" s="838">
        <f t="shared" ref="E23:E31" si="13">E22</f>
        <v>0</v>
      </c>
      <c r="F23" s="838">
        <v>0</v>
      </c>
      <c r="G23" s="839">
        <f>0.8*(温度条件他根拠!$E$10-8.4)/(温度条件他根拠!$E$10-温度条件他根拠!$E$8)</f>
        <v>0.44830917874396131</v>
      </c>
      <c r="H23" s="7">
        <f t="shared" si="5"/>
        <v>0</v>
      </c>
      <c r="I23" s="7">
        <f t="shared" si="6"/>
        <v>0</v>
      </c>
      <c r="J23" s="2">
        <f t="shared" ref="J23:K31" si="14">J22</f>
        <v>3.55</v>
      </c>
      <c r="K23" s="6">
        <f t="shared" si="14"/>
        <v>3.95</v>
      </c>
      <c r="L23" s="7">
        <f t="shared" si="1"/>
        <v>0</v>
      </c>
      <c r="M23" s="7">
        <f t="shared" si="1"/>
        <v>0</v>
      </c>
      <c r="N23" s="13">
        <f t="shared" si="7"/>
        <v>0</v>
      </c>
      <c r="O23" s="12">
        <f t="shared" si="8"/>
        <v>0</v>
      </c>
      <c r="Q23" s="798">
        <v>4</v>
      </c>
      <c r="R23" s="3"/>
      <c r="S23" s="3"/>
      <c r="T23" s="1013">
        <f t="shared" si="12"/>
        <v>0</v>
      </c>
      <c r="U23" s="838">
        <f t="shared" si="9"/>
        <v>0</v>
      </c>
      <c r="V23" s="1001">
        <f t="shared" si="9"/>
        <v>0.44830917874396131</v>
      </c>
      <c r="W23" s="7">
        <f t="shared" si="2"/>
        <v>0</v>
      </c>
      <c r="X23" s="7">
        <f t="shared" si="3"/>
        <v>0</v>
      </c>
      <c r="Y23" s="2">
        <f t="shared" ref="Y23:Z31" si="15">Y22</f>
        <v>3.55</v>
      </c>
      <c r="Z23" s="6">
        <f t="shared" si="15"/>
        <v>3.95</v>
      </c>
      <c r="AA23" s="7">
        <f t="shared" si="4"/>
        <v>0</v>
      </c>
      <c r="AB23" s="7">
        <f t="shared" si="4"/>
        <v>0</v>
      </c>
      <c r="AC23" s="13">
        <f t="shared" si="10"/>
        <v>0</v>
      </c>
      <c r="AD23" s="12">
        <f t="shared" si="11"/>
        <v>0</v>
      </c>
    </row>
    <row r="24" spans="2:30">
      <c r="B24" s="798">
        <v>5</v>
      </c>
      <c r="C24" s="3"/>
      <c r="D24" s="3"/>
      <c r="E24" s="838">
        <f t="shared" si="13"/>
        <v>0</v>
      </c>
      <c r="F24" s="839">
        <f>0.175*(温度条件他根拠!$E$7-温度条件他根拠!$E$9)/(温度条件他根拠!$E$7-23.9)</f>
        <v>8.5312499999999958E-2</v>
      </c>
      <c r="G24" s="839">
        <f>0.2*(温度条件他根拠!$E$10-13.4)/(温度条件他根拠!$E$10-温度条件他根拠!$E$8)</f>
        <v>6.3768115942028997E-2</v>
      </c>
      <c r="H24" s="836">
        <f>$C$27*E24*F24/1000</f>
        <v>0</v>
      </c>
      <c r="I24" s="836">
        <f>G24*E24*$D$20/1000</f>
        <v>0</v>
      </c>
      <c r="J24" s="2">
        <f t="shared" si="14"/>
        <v>3.55</v>
      </c>
      <c r="K24" s="6">
        <f t="shared" si="14"/>
        <v>3.95</v>
      </c>
      <c r="L24" s="7">
        <f t="shared" si="1"/>
        <v>0</v>
      </c>
      <c r="M24" s="7">
        <f t="shared" si="1"/>
        <v>0</v>
      </c>
      <c r="N24" s="13">
        <f t="shared" si="7"/>
        <v>0</v>
      </c>
      <c r="O24" s="12">
        <f t="shared" si="8"/>
        <v>0</v>
      </c>
      <c r="Q24" s="798">
        <v>5</v>
      </c>
      <c r="R24" s="3"/>
      <c r="S24" s="3"/>
      <c r="T24" s="1013">
        <f t="shared" si="12"/>
        <v>0</v>
      </c>
      <c r="U24" s="1001">
        <f t="shared" si="9"/>
        <v>8.5312499999999958E-2</v>
      </c>
      <c r="V24" s="1001">
        <f t="shared" si="9"/>
        <v>6.3768115942028997E-2</v>
      </c>
      <c r="W24" s="836">
        <f t="shared" si="2"/>
        <v>0</v>
      </c>
      <c r="X24" s="836">
        <f t="shared" si="3"/>
        <v>0</v>
      </c>
      <c r="Y24" s="2">
        <f t="shared" si="15"/>
        <v>3.55</v>
      </c>
      <c r="Z24" s="6">
        <f t="shared" si="15"/>
        <v>3.95</v>
      </c>
      <c r="AA24" s="7">
        <f t="shared" si="4"/>
        <v>0</v>
      </c>
      <c r="AB24" s="7">
        <f t="shared" si="4"/>
        <v>0</v>
      </c>
      <c r="AC24" s="13">
        <f t="shared" si="10"/>
        <v>0</v>
      </c>
      <c r="AD24" s="12">
        <f t="shared" si="11"/>
        <v>0</v>
      </c>
    </row>
    <row r="25" spans="2:30">
      <c r="B25" s="798">
        <v>6</v>
      </c>
      <c r="C25" s="3"/>
      <c r="D25" s="3"/>
      <c r="E25" s="838">
        <f t="shared" si="13"/>
        <v>0</v>
      </c>
      <c r="F25" s="839">
        <f>0.7*(温度条件他根拠!$E$7-温度条件他根拠!$E$9)/(温度条件他根拠!$E$7-26.4)</f>
        <v>0.49636363636363612</v>
      </c>
      <c r="G25" s="838">
        <v>0</v>
      </c>
      <c r="H25" s="7">
        <f t="shared" si="5"/>
        <v>0</v>
      </c>
      <c r="I25" s="7">
        <f t="shared" si="6"/>
        <v>0</v>
      </c>
      <c r="J25" s="2">
        <f t="shared" si="14"/>
        <v>3.55</v>
      </c>
      <c r="K25" s="6">
        <f t="shared" si="14"/>
        <v>3.95</v>
      </c>
      <c r="L25" s="7">
        <f t="shared" si="1"/>
        <v>0</v>
      </c>
      <c r="M25" s="7">
        <f t="shared" si="1"/>
        <v>0</v>
      </c>
      <c r="N25" s="13">
        <f t="shared" si="7"/>
        <v>0</v>
      </c>
      <c r="O25" s="12">
        <f t="shared" si="8"/>
        <v>0</v>
      </c>
      <c r="Q25" s="798">
        <v>6</v>
      </c>
      <c r="R25" s="3"/>
      <c r="S25" s="3"/>
      <c r="T25" s="1013">
        <f t="shared" si="12"/>
        <v>0</v>
      </c>
      <c r="U25" s="1001">
        <f t="shared" si="9"/>
        <v>0.49636363636363612</v>
      </c>
      <c r="V25" s="838">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798">
        <v>7</v>
      </c>
      <c r="C26" s="3"/>
      <c r="D26" s="3"/>
      <c r="E26" s="838">
        <f t="shared" si="13"/>
        <v>0</v>
      </c>
      <c r="F26" s="839">
        <f>0.7*(温度条件他根拠!$E$7-温度条件他根拠!$E$9)/(温度条件他根拠!$E$7-28)</f>
        <v>0.7</v>
      </c>
      <c r="G26" s="838">
        <v>0</v>
      </c>
      <c r="H26" s="7">
        <f t="shared" si="5"/>
        <v>0</v>
      </c>
      <c r="I26" s="7">
        <f t="shared" si="6"/>
        <v>0</v>
      </c>
      <c r="J26" s="2">
        <f t="shared" si="14"/>
        <v>3.55</v>
      </c>
      <c r="K26" s="6">
        <f t="shared" si="14"/>
        <v>3.95</v>
      </c>
      <c r="L26" s="7">
        <f t="shared" si="1"/>
        <v>0</v>
      </c>
      <c r="M26" s="7">
        <f t="shared" si="1"/>
        <v>0</v>
      </c>
      <c r="N26" s="13">
        <f t="shared" si="7"/>
        <v>0</v>
      </c>
      <c r="O26" s="12">
        <f t="shared" si="8"/>
        <v>0</v>
      </c>
      <c r="Q26" s="798">
        <v>7</v>
      </c>
      <c r="R26" s="3"/>
      <c r="S26" s="3"/>
      <c r="T26" s="1013">
        <f t="shared" si="12"/>
        <v>0</v>
      </c>
      <c r="U26" s="1001">
        <f t="shared" si="9"/>
        <v>0.7</v>
      </c>
      <c r="V26" s="838">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798">
        <v>8</v>
      </c>
      <c r="C27" s="836">
        <f>D13</f>
        <v>0</v>
      </c>
      <c r="D27" s="3"/>
      <c r="E27" s="838">
        <f t="shared" si="13"/>
        <v>0</v>
      </c>
      <c r="F27" s="839">
        <f>0.7*(温度条件他根拠!$E$7-温度条件他根拠!$E$9)/(温度条件他根拠!$E$7-28)</f>
        <v>0.7</v>
      </c>
      <c r="G27" s="838">
        <v>0</v>
      </c>
      <c r="H27" s="7">
        <f t="shared" si="5"/>
        <v>0</v>
      </c>
      <c r="I27" s="7">
        <f t="shared" si="6"/>
        <v>0</v>
      </c>
      <c r="J27" s="2">
        <f t="shared" si="14"/>
        <v>3.55</v>
      </c>
      <c r="K27" s="6">
        <f t="shared" si="14"/>
        <v>3.95</v>
      </c>
      <c r="L27" s="7">
        <f t="shared" si="1"/>
        <v>0</v>
      </c>
      <c r="M27" s="7">
        <f t="shared" si="1"/>
        <v>0</v>
      </c>
      <c r="N27" s="13">
        <f t="shared" si="7"/>
        <v>0</v>
      </c>
      <c r="O27" s="12">
        <f t="shared" si="8"/>
        <v>0</v>
      </c>
      <c r="Q27" s="798">
        <v>8</v>
      </c>
      <c r="R27" s="836">
        <f>E8*D12</f>
        <v>0</v>
      </c>
      <c r="S27" s="3"/>
      <c r="T27" s="1013">
        <f t="shared" si="12"/>
        <v>0</v>
      </c>
      <c r="U27" s="1001">
        <f t="shared" si="9"/>
        <v>0.7</v>
      </c>
      <c r="V27" s="838">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798">
        <v>9</v>
      </c>
      <c r="C28" s="3"/>
      <c r="D28" s="3"/>
      <c r="E28" s="838">
        <f t="shared" si="13"/>
        <v>0</v>
      </c>
      <c r="F28" s="839">
        <f>0.7*(温度条件他根拠!$E$7-温度条件他根拠!$E$9)/(温度条件他根拠!$E$7-27.2)</f>
        <v>0.58085106382978702</v>
      </c>
      <c r="G28" s="838">
        <v>0</v>
      </c>
      <c r="H28" s="7">
        <f t="shared" si="5"/>
        <v>0</v>
      </c>
      <c r="I28" s="7">
        <f t="shared" si="6"/>
        <v>0</v>
      </c>
      <c r="J28" s="2">
        <f t="shared" si="14"/>
        <v>3.55</v>
      </c>
      <c r="K28" s="6">
        <f t="shared" si="14"/>
        <v>3.95</v>
      </c>
      <c r="L28" s="7">
        <f t="shared" si="1"/>
        <v>0</v>
      </c>
      <c r="M28" s="7">
        <f t="shared" si="1"/>
        <v>0</v>
      </c>
      <c r="N28" s="13">
        <f t="shared" si="7"/>
        <v>0</v>
      </c>
      <c r="O28" s="12">
        <f t="shared" si="8"/>
        <v>0</v>
      </c>
      <c r="Q28" s="798">
        <v>9</v>
      </c>
      <c r="R28" s="3"/>
      <c r="S28" s="3"/>
      <c r="T28" s="1013">
        <f t="shared" si="12"/>
        <v>0</v>
      </c>
      <c r="U28" s="1001">
        <f t="shared" si="9"/>
        <v>0.58085106382978702</v>
      </c>
      <c r="V28" s="838">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798">
        <v>10</v>
      </c>
      <c r="C29" s="3"/>
      <c r="D29" s="3"/>
      <c r="E29" s="838">
        <f t="shared" si="13"/>
        <v>0</v>
      </c>
      <c r="F29" s="839">
        <f>0.175*(温度条件他根拠!$E$7-温度条件他根拠!$E$9)/(温度条件他根拠!$E$7-21.7)</f>
        <v>6.6911764705882323E-2</v>
      </c>
      <c r="G29" s="839">
        <f>0.2*(温度条件他根拠!$E$10-13)/(温度条件他根拠!$E$10-温度条件他根拠!$E$8)</f>
        <v>6.7632850241545903E-2</v>
      </c>
      <c r="H29" s="836">
        <f>$C$27*E29*F29/1000</f>
        <v>0</v>
      </c>
      <c r="I29" s="836">
        <f>G29*E29*$D$20/1000</f>
        <v>0</v>
      </c>
      <c r="J29" s="2">
        <f t="shared" si="14"/>
        <v>3.55</v>
      </c>
      <c r="K29" s="6">
        <f t="shared" si="14"/>
        <v>3.95</v>
      </c>
      <c r="L29" s="7">
        <f t="shared" si="1"/>
        <v>0</v>
      </c>
      <c r="M29" s="7">
        <f t="shared" si="1"/>
        <v>0</v>
      </c>
      <c r="N29" s="13">
        <f t="shared" si="7"/>
        <v>0</v>
      </c>
      <c r="O29" s="12">
        <f t="shared" si="8"/>
        <v>0</v>
      </c>
      <c r="Q29" s="798">
        <v>10</v>
      </c>
      <c r="R29" s="3"/>
      <c r="S29" s="3"/>
      <c r="T29" s="1013">
        <f t="shared" si="12"/>
        <v>0</v>
      </c>
      <c r="U29" s="1001">
        <f t="shared" si="9"/>
        <v>6.6911764705882323E-2</v>
      </c>
      <c r="V29" s="1001">
        <f t="shared" si="9"/>
        <v>6.7632850241545903E-2</v>
      </c>
      <c r="W29" s="836">
        <f>($R$27*T29*U29/1000)</f>
        <v>0</v>
      </c>
      <c r="X29" s="836">
        <f>(V29*T29*$S$20/1000)</f>
        <v>0</v>
      </c>
      <c r="Y29" s="2">
        <f t="shared" si="15"/>
        <v>3.55</v>
      </c>
      <c r="Z29" s="6">
        <f t="shared" si="15"/>
        <v>3.95</v>
      </c>
      <c r="AA29" s="7">
        <f t="shared" si="4"/>
        <v>0</v>
      </c>
      <c r="AB29" s="7">
        <f t="shared" si="4"/>
        <v>0</v>
      </c>
      <c r="AC29" s="13">
        <f t="shared" si="10"/>
        <v>0</v>
      </c>
      <c r="AD29" s="12">
        <f t="shared" si="11"/>
        <v>0</v>
      </c>
    </row>
    <row r="30" spans="2:30">
      <c r="B30" s="798">
        <v>11</v>
      </c>
      <c r="C30" s="3"/>
      <c r="D30" s="3"/>
      <c r="E30" s="838">
        <f t="shared" si="13"/>
        <v>0</v>
      </c>
      <c r="F30" s="838">
        <v>0</v>
      </c>
      <c r="G30" s="839">
        <f>0.8*(温度条件他根拠!$E$10-6.7)/(温度条件他根拠!$E$10-温度条件他根拠!$E$8)</f>
        <v>0.51400966183574881</v>
      </c>
      <c r="H30" s="7">
        <f t="shared" si="5"/>
        <v>0</v>
      </c>
      <c r="I30" s="7">
        <f t="shared" si="6"/>
        <v>0</v>
      </c>
      <c r="J30" s="2">
        <f t="shared" si="14"/>
        <v>3.55</v>
      </c>
      <c r="K30" s="6">
        <f t="shared" si="14"/>
        <v>3.95</v>
      </c>
      <c r="L30" s="7">
        <f t="shared" si="1"/>
        <v>0</v>
      </c>
      <c r="M30" s="7">
        <f t="shared" si="1"/>
        <v>0</v>
      </c>
      <c r="N30" s="13">
        <f t="shared" si="7"/>
        <v>0</v>
      </c>
      <c r="O30" s="12">
        <f t="shared" si="8"/>
        <v>0</v>
      </c>
      <c r="Q30" s="798">
        <v>11</v>
      </c>
      <c r="R30" s="3"/>
      <c r="S30" s="3"/>
      <c r="T30" s="1013">
        <f t="shared" si="12"/>
        <v>0</v>
      </c>
      <c r="U30" s="838">
        <f t="shared" si="9"/>
        <v>0</v>
      </c>
      <c r="V30" s="1001">
        <f t="shared" si="9"/>
        <v>0.51400966183574881</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798">
        <v>12</v>
      </c>
      <c r="C31" s="3"/>
      <c r="D31" s="3"/>
      <c r="E31" s="838">
        <f t="shared" si="13"/>
        <v>0</v>
      </c>
      <c r="F31" s="838">
        <v>0</v>
      </c>
      <c r="G31" s="839">
        <f>0.8*(温度条件他根拠!$E$10-1.6)/(温度条件他根拠!$E$10-温度条件他根拠!$E$8)</f>
        <v>0.71111111111111103</v>
      </c>
      <c r="H31" s="7">
        <f t="shared" si="5"/>
        <v>0</v>
      </c>
      <c r="I31" s="7">
        <f t="shared" si="6"/>
        <v>0</v>
      </c>
      <c r="J31" s="2">
        <f t="shared" si="14"/>
        <v>3.55</v>
      </c>
      <c r="K31" s="6">
        <f t="shared" si="14"/>
        <v>3.95</v>
      </c>
      <c r="L31" s="7">
        <f t="shared" si="1"/>
        <v>0</v>
      </c>
      <c r="M31" s="7">
        <f t="shared" si="1"/>
        <v>0</v>
      </c>
      <c r="N31" s="13">
        <f t="shared" si="7"/>
        <v>0</v>
      </c>
      <c r="O31" s="12">
        <f t="shared" si="8"/>
        <v>0</v>
      </c>
      <c r="Q31" s="798">
        <v>12</v>
      </c>
      <c r="R31" s="3"/>
      <c r="S31" s="3"/>
      <c r="T31" s="1013">
        <f t="shared" si="12"/>
        <v>0</v>
      </c>
      <c r="U31" s="838">
        <f t="shared" si="9"/>
        <v>0</v>
      </c>
      <c r="V31" s="1001">
        <f t="shared" si="9"/>
        <v>0.71111111111111103</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836">
        <f>SUM(E20:E31)</f>
        <v>0</v>
      </c>
      <c r="F32" s="3"/>
      <c r="G32" s="3"/>
      <c r="H32" s="7">
        <f>SUM(H20:H31)</f>
        <v>0</v>
      </c>
      <c r="I32" s="7">
        <f>SUM(I20:I31)</f>
        <v>0</v>
      </c>
      <c r="J32" s="3"/>
      <c r="K32" s="3"/>
      <c r="L32" s="7">
        <f>SUM(L20:L31)</f>
        <v>0</v>
      </c>
      <c r="M32" s="7">
        <f>SUM(M20:M31)</f>
        <v>0</v>
      </c>
      <c r="N32" s="13">
        <f>SUM(N20:N31)</f>
        <v>0</v>
      </c>
      <c r="O32" s="17">
        <f>SUM(O20:O31)</f>
        <v>0</v>
      </c>
      <c r="Q32" s="2" t="s">
        <v>1</v>
      </c>
      <c r="R32" s="3"/>
      <c r="S32" s="3"/>
      <c r="T32" s="836">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1079</v>
      </c>
    </row>
    <row r="57" spans="2:3">
      <c r="B57" s="691">
        <v>43927</v>
      </c>
      <c r="C57" s="690" t="s">
        <v>866</v>
      </c>
    </row>
    <row r="58" spans="2:3">
      <c r="B58" s="691">
        <v>44634</v>
      </c>
      <c r="C58" s="690" t="s">
        <v>1119</v>
      </c>
    </row>
    <row r="59" spans="2:3">
      <c r="C59" s="690" t="s">
        <v>1120</v>
      </c>
    </row>
    <row r="60" spans="2:3">
      <c r="C60" s="1" t="s">
        <v>1121</v>
      </c>
    </row>
    <row r="61" spans="2:3">
      <c r="C61" s="1" t="s">
        <v>1133</v>
      </c>
    </row>
    <row r="62" spans="2:3">
      <c r="C62" s="1" t="s">
        <v>1134</v>
      </c>
    </row>
  </sheetData>
  <mergeCells count="13">
    <mergeCell ref="B16:O16"/>
    <mergeCell ref="D11:F11"/>
    <mergeCell ref="H11:N11"/>
    <mergeCell ref="D12:F12"/>
    <mergeCell ref="H12:N12"/>
    <mergeCell ref="D13:F13"/>
    <mergeCell ref="H13:N13"/>
    <mergeCell ref="H7:N10"/>
    <mergeCell ref="B2:O2"/>
    <mergeCell ref="B5:C6"/>
    <mergeCell ref="D5:F5"/>
    <mergeCell ref="G5:G6"/>
    <mergeCell ref="H5:N6"/>
  </mergeCells>
  <phoneticPr fontId="2"/>
  <pageMargins left="0" right="0" top="0.55118110236220474" bottom="0.15748031496062992" header="0.11811023622047245" footer="0"/>
  <pageSetup paperSize="9" orientation="landscape" r:id="rId1"/>
  <ignoredErrors>
    <ignoredError sqref="W29:X29" 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tabColor rgb="FF92D050"/>
  </sheetPr>
  <dimension ref="A1:AD91"/>
  <sheetViews>
    <sheetView workbookViewId="0">
      <selection activeCell="H9" sqref="H9"/>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705" t="str">
        <f ca="1">RIGHT(CELL("filename",C1),LEN(CELL("filename",C1))-FIND("]",CELL("filename",C1)))</f>
        <v>熊谷市外壁遮熱</v>
      </c>
      <c r="D1" s="81"/>
      <c r="E1" s="81"/>
      <c r="F1" s="81"/>
      <c r="G1" s="81"/>
      <c r="H1" s="81"/>
      <c r="I1" s="81"/>
      <c r="J1" s="81"/>
      <c r="K1" s="81"/>
      <c r="L1" s="81"/>
      <c r="M1" s="81"/>
      <c r="N1" s="81"/>
      <c r="O1" s="81"/>
    </row>
    <row r="2" spans="2:16" ht="13.5" thickBot="1"/>
    <row r="3" spans="2:16" ht="13.5" thickBot="1">
      <c r="B3" s="840" t="s">
        <v>1093</v>
      </c>
      <c r="C3" s="890"/>
      <c r="D3" s="841"/>
      <c r="E3" s="841"/>
      <c r="F3" s="841"/>
      <c r="G3" s="841"/>
      <c r="H3" s="1010"/>
      <c r="I3" s="1010"/>
      <c r="J3" s="2096" t="str">
        <f>J16</f>
        <v>D
時間帯合計値の最大値の方位別冷房負荷（計算採用値）</v>
      </c>
      <c r="K3" s="2099" t="str">
        <f>K16</f>
        <v>E
方位別日射時間
(h/日）</v>
      </c>
      <c r="L3" s="2102" t="str">
        <f>L16</f>
        <v>①
＝ΣD×E
方位別
日冷房
負荷
削減量
（W・h/日）</v>
      </c>
      <c r="M3" s="897"/>
      <c r="N3" s="2096" t="str">
        <f>N16</f>
        <v>F
時間帯合計値の最大値の方位別暖房負荷（計算採用値）</v>
      </c>
      <c r="O3" s="2099" t="str">
        <f>O16</f>
        <v>E
方位別日射時間
(h/日）</v>
      </c>
      <c r="P3" s="2102" t="str">
        <f>P16</f>
        <v>②
＝ΣF×E
方位別
日暖房
負荷
削減量
（W・h/日）</v>
      </c>
    </row>
    <row r="4" spans="2:16">
      <c r="B4" s="2088" t="s">
        <v>1094</v>
      </c>
      <c r="C4" s="2089"/>
      <c r="D4" s="2089" t="s">
        <v>1095</v>
      </c>
      <c r="E4" s="2089"/>
      <c r="F4" s="2089"/>
      <c r="G4" s="2092" t="s">
        <v>1122</v>
      </c>
      <c r="H4" s="894"/>
      <c r="I4" s="894"/>
      <c r="J4" s="2097"/>
      <c r="K4" s="2100"/>
      <c r="L4" s="2103"/>
      <c r="M4" s="896"/>
      <c r="N4" s="2097"/>
      <c r="O4" s="2100"/>
      <c r="P4" s="2103"/>
    </row>
    <row r="5" spans="2:16" ht="13.5" thickBot="1">
      <c r="B5" s="2090"/>
      <c r="C5" s="2091"/>
      <c r="D5" s="842" t="s">
        <v>1098</v>
      </c>
      <c r="E5" s="842" t="s">
        <v>1099</v>
      </c>
      <c r="F5" s="842" t="s">
        <v>1100</v>
      </c>
      <c r="G5" s="2093"/>
      <c r="H5" s="894"/>
      <c r="I5" s="894"/>
      <c r="J5" s="2098"/>
      <c r="K5" s="2101"/>
      <c r="L5" s="2104"/>
      <c r="M5" s="896"/>
      <c r="N5" s="2098"/>
      <c r="O5" s="2101"/>
      <c r="P5" s="2104"/>
    </row>
    <row r="6" spans="2:16">
      <c r="B6" s="2094" t="s">
        <v>1123</v>
      </c>
      <c r="C6" s="881" t="s">
        <v>1395</v>
      </c>
      <c r="D6" s="882">
        <f>結果!H31</f>
        <v>0</v>
      </c>
      <c r="E6" s="882">
        <f>結果!J31</f>
        <v>0</v>
      </c>
      <c r="F6" s="882">
        <f>結果!L31</f>
        <v>0</v>
      </c>
      <c r="G6" s="883">
        <f>結果!Q31</f>
        <v>0</v>
      </c>
      <c r="H6" s="894"/>
      <c r="I6" s="894"/>
      <c r="J6" s="857">
        <f>IF(D32&gt;=D33,D6,IF(E32&gt;=D33,E6,F6))</f>
        <v>0</v>
      </c>
      <c r="K6" s="858">
        <f>温度条件他根拠!C36</f>
        <v>0</v>
      </c>
      <c r="L6" s="859">
        <f>K6*J6</f>
        <v>0</v>
      </c>
      <c r="M6" s="896"/>
      <c r="N6" s="860">
        <v>0</v>
      </c>
      <c r="O6" s="858">
        <f>K6</f>
        <v>0</v>
      </c>
      <c r="P6" s="859">
        <f>O6*N6</f>
        <v>0</v>
      </c>
    </row>
    <row r="7" spans="2:16">
      <c r="B7" s="2077"/>
      <c r="C7" s="877" t="s">
        <v>1396</v>
      </c>
      <c r="D7" s="847">
        <f>結果!H32</f>
        <v>0</v>
      </c>
      <c r="E7" s="847">
        <f>結果!J32</f>
        <v>0</v>
      </c>
      <c r="F7" s="847">
        <f>結果!L32</f>
        <v>0</v>
      </c>
      <c r="G7" s="879">
        <f>結果!Q32</f>
        <v>0</v>
      </c>
      <c r="H7" s="894"/>
      <c r="I7" s="894"/>
      <c r="J7" s="862">
        <f>IF(D32&gt;=D33,D7,IF(E32&gt;=D33,E7,F7))</f>
        <v>0</v>
      </c>
      <c r="K7" s="863">
        <f>温度条件他根拠!D36</f>
        <v>2.5</v>
      </c>
      <c r="L7" s="864">
        <f t="shared" ref="L7:L13" si="0">K7*J7</f>
        <v>0</v>
      </c>
      <c r="M7" s="896"/>
      <c r="N7" s="865">
        <v>0</v>
      </c>
      <c r="O7" s="863">
        <f>K7</f>
        <v>2.5</v>
      </c>
      <c r="P7" s="864">
        <f t="shared" ref="P7:P13" si="1">O7*N7</f>
        <v>0</v>
      </c>
    </row>
    <row r="8" spans="2:16">
      <c r="B8" s="2077"/>
      <c r="C8" s="877" t="s">
        <v>1397</v>
      </c>
      <c r="D8" s="847">
        <f>結果!H33</f>
        <v>0</v>
      </c>
      <c r="E8" s="847">
        <f>結果!J33</f>
        <v>0</v>
      </c>
      <c r="F8" s="847">
        <f>結果!L33</f>
        <v>0</v>
      </c>
      <c r="G8" s="879">
        <f>結果!Q33</f>
        <v>0</v>
      </c>
      <c r="H8" s="894"/>
      <c r="I8" s="894"/>
      <c r="J8" s="862">
        <f>IF(D32&gt;=D33,D8,IF(E32&gt;=D33,E8,F8))</f>
        <v>0</v>
      </c>
      <c r="K8" s="863">
        <f>温度条件他根拠!E36</f>
        <v>3.5</v>
      </c>
      <c r="L8" s="864">
        <f t="shared" si="0"/>
        <v>0</v>
      </c>
      <c r="M8" s="896"/>
      <c r="N8" s="865">
        <v>0</v>
      </c>
      <c r="O8" s="863">
        <f t="shared" ref="O8:O13" si="2">K8</f>
        <v>3.5</v>
      </c>
      <c r="P8" s="864">
        <f t="shared" si="1"/>
        <v>0</v>
      </c>
    </row>
    <row r="9" spans="2:16">
      <c r="B9" s="2077"/>
      <c r="C9" s="877" t="s">
        <v>1398</v>
      </c>
      <c r="D9" s="847">
        <f>結果!H34</f>
        <v>0</v>
      </c>
      <c r="E9" s="847">
        <f>結果!J34</f>
        <v>0</v>
      </c>
      <c r="F9" s="847">
        <f>結果!L34</f>
        <v>0</v>
      </c>
      <c r="G9" s="879">
        <f>結果!Q34</f>
        <v>0</v>
      </c>
      <c r="H9" s="894"/>
      <c r="I9" s="894"/>
      <c r="J9" s="862">
        <f>IF(D32&gt;=D33,D9,IF(E32&gt;=D33,E9,F9))</f>
        <v>0</v>
      </c>
      <c r="K9" s="863">
        <f>温度条件他根拠!F36</f>
        <v>4.5</v>
      </c>
      <c r="L9" s="864">
        <f t="shared" si="0"/>
        <v>0</v>
      </c>
      <c r="M9" s="896"/>
      <c r="N9" s="865">
        <v>0</v>
      </c>
      <c r="O9" s="863">
        <f t="shared" si="2"/>
        <v>4.5</v>
      </c>
      <c r="P9" s="864">
        <f t="shared" si="1"/>
        <v>0</v>
      </c>
    </row>
    <row r="10" spans="2:16">
      <c r="B10" s="2077"/>
      <c r="C10" s="877" t="s">
        <v>1399</v>
      </c>
      <c r="D10" s="847">
        <f>結果!H35</f>
        <v>0</v>
      </c>
      <c r="E10" s="847">
        <f>結果!J35</f>
        <v>0</v>
      </c>
      <c r="F10" s="847">
        <f>結果!L35</f>
        <v>0</v>
      </c>
      <c r="G10" s="879">
        <f>結果!Q35</f>
        <v>0</v>
      </c>
      <c r="H10" s="894"/>
      <c r="I10" s="894"/>
      <c r="J10" s="862">
        <f>IF(D32&gt;=D33,D10,IF(E32&gt;=D33,E10,F10))</f>
        <v>0</v>
      </c>
      <c r="K10" s="866">
        <f>温度条件他根拠!G36</f>
        <v>5</v>
      </c>
      <c r="L10" s="864">
        <f t="shared" si="0"/>
        <v>0</v>
      </c>
      <c r="M10" s="896"/>
      <c r="N10" s="865">
        <v>0</v>
      </c>
      <c r="O10" s="866">
        <f t="shared" si="2"/>
        <v>5</v>
      </c>
      <c r="P10" s="864">
        <f t="shared" si="1"/>
        <v>0</v>
      </c>
    </row>
    <row r="11" spans="2:16">
      <c r="B11" s="2077"/>
      <c r="C11" s="877" t="s">
        <v>1400</v>
      </c>
      <c r="D11" s="847">
        <f>結果!H36</f>
        <v>0</v>
      </c>
      <c r="E11" s="847">
        <f>結果!J36</f>
        <v>0</v>
      </c>
      <c r="F11" s="847">
        <f>結果!L36</f>
        <v>0</v>
      </c>
      <c r="G11" s="879">
        <f>結果!Q36</f>
        <v>0</v>
      </c>
      <c r="H11" s="894"/>
      <c r="I11" s="894"/>
      <c r="J11" s="862">
        <f>IF(D32&gt;=D33,D11,IF(E32&gt;=D33,E11,F11))</f>
        <v>0</v>
      </c>
      <c r="K11" s="863">
        <f>温度条件他根拠!H36</f>
        <v>4.5</v>
      </c>
      <c r="L11" s="864">
        <f t="shared" si="0"/>
        <v>0</v>
      </c>
      <c r="M11" s="896"/>
      <c r="N11" s="865">
        <v>0</v>
      </c>
      <c r="O11" s="863">
        <f t="shared" si="2"/>
        <v>4.5</v>
      </c>
      <c r="P11" s="864">
        <f t="shared" si="1"/>
        <v>0</v>
      </c>
    </row>
    <row r="12" spans="2:16">
      <c r="B12" s="2077"/>
      <c r="C12" s="877" t="s">
        <v>1401</v>
      </c>
      <c r="D12" s="847">
        <f>結果!H37</f>
        <v>0</v>
      </c>
      <c r="E12" s="847">
        <f>結果!J37</f>
        <v>0</v>
      </c>
      <c r="F12" s="847">
        <f>結果!L37</f>
        <v>0</v>
      </c>
      <c r="G12" s="879">
        <f>結果!Q37</f>
        <v>0</v>
      </c>
      <c r="H12" s="894"/>
      <c r="I12" s="894"/>
      <c r="J12" s="862">
        <f>IF(D32&gt;=D33,D12,IF(E32&gt;=D33,E12,F12))</f>
        <v>0</v>
      </c>
      <c r="K12" s="863">
        <f>温度条件他根拠!I36</f>
        <v>3.5</v>
      </c>
      <c r="L12" s="864">
        <f t="shared" si="0"/>
        <v>0</v>
      </c>
      <c r="M12" s="896"/>
      <c r="N12" s="865">
        <v>0</v>
      </c>
      <c r="O12" s="863">
        <f t="shared" si="2"/>
        <v>3.5</v>
      </c>
      <c r="P12" s="864">
        <f t="shared" si="1"/>
        <v>0</v>
      </c>
    </row>
    <row r="13" spans="2:16" ht="13.5" thickBot="1">
      <c r="B13" s="2077"/>
      <c r="C13" s="878" t="s">
        <v>1402</v>
      </c>
      <c r="D13" s="850">
        <f>結果!H38</f>
        <v>0</v>
      </c>
      <c r="E13" s="850">
        <f>結果!J38</f>
        <v>0</v>
      </c>
      <c r="F13" s="850">
        <f>結果!L38</f>
        <v>0</v>
      </c>
      <c r="G13" s="880">
        <f>結果!Q38</f>
        <v>0</v>
      </c>
      <c r="H13" s="894"/>
      <c r="I13" s="894"/>
      <c r="J13" s="868">
        <f>IF(D32&gt;=D33,D13,IF(E32&gt;=D33,E13,F13))</f>
        <v>0</v>
      </c>
      <c r="K13" s="869">
        <f>温度条件他根拠!J36</f>
        <v>2.5</v>
      </c>
      <c r="L13" s="870">
        <f t="shared" si="0"/>
        <v>0</v>
      </c>
      <c r="M13" s="896"/>
      <c r="N13" s="865">
        <v>0</v>
      </c>
      <c r="O13" s="863">
        <f t="shared" si="2"/>
        <v>2.5</v>
      </c>
      <c r="P13" s="870">
        <f t="shared" si="1"/>
        <v>0</v>
      </c>
    </row>
    <row r="14" spans="2:16" ht="13.5" customHeight="1" thickBot="1">
      <c r="B14" s="2095"/>
      <c r="C14" s="884" t="s">
        <v>1124</v>
      </c>
      <c r="D14" s="885">
        <f>SUM(D6:D13)</f>
        <v>0</v>
      </c>
      <c r="E14" s="885">
        <f t="shared" ref="E14:G14" si="3">SUM(E6:E13)</f>
        <v>0</v>
      </c>
      <c r="F14" s="885">
        <f t="shared" si="3"/>
        <v>0</v>
      </c>
      <c r="G14" s="886">
        <f t="shared" si="3"/>
        <v>0</v>
      </c>
      <c r="H14" s="894"/>
      <c r="I14" s="894"/>
      <c r="J14" s="874">
        <f>SUM(J6:J13)</f>
        <v>0</v>
      </c>
      <c r="K14" s="875"/>
      <c r="L14" s="876">
        <f>SUM(L6:L13)</f>
        <v>0</v>
      </c>
      <c r="M14" s="896"/>
      <c r="N14" s="874">
        <f>SUM(N6:N13)</f>
        <v>0</v>
      </c>
      <c r="O14" s="875"/>
      <c r="P14" s="876">
        <f>SUM(P6:P13)</f>
        <v>0</v>
      </c>
    </row>
    <row r="15" spans="2:16" ht="13.5" thickBot="1">
      <c r="B15" s="2088" t="s">
        <v>1128</v>
      </c>
      <c r="C15" s="843" t="str">
        <f>C6</f>
        <v>北</v>
      </c>
      <c r="D15" s="844">
        <f>結果!H71</f>
        <v>0</v>
      </c>
      <c r="E15" s="844">
        <f>結果!J71</f>
        <v>0</v>
      </c>
      <c r="F15" s="844">
        <f>結果!L71</f>
        <v>0</v>
      </c>
      <c r="G15" s="845">
        <f>結果!Q71</f>
        <v>0</v>
      </c>
      <c r="H15" s="1010"/>
      <c r="I15" s="1010"/>
      <c r="J15" s="894"/>
      <c r="K15" s="894"/>
      <c r="L15" s="894"/>
      <c r="M15" s="896"/>
      <c r="N15" s="896"/>
      <c r="O15" s="896"/>
      <c r="P15" s="897"/>
    </row>
    <row r="16" spans="2:16" ht="13" customHeight="1">
      <c r="B16" s="2077"/>
      <c r="C16" s="846" t="str">
        <f t="shared" ref="C16:C32" si="4">C7</f>
        <v>北東</v>
      </c>
      <c r="D16" s="847">
        <f>結果!H72</f>
        <v>0</v>
      </c>
      <c r="E16" s="847">
        <f>結果!J72</f>
        <v>0</v>
      </c>
      <c r="F16" s="847">
        <f>結果!L72</f>
        <v>0</v>
      </c>
      <c r="G16" s="848">
        <f>結果!Q72</f>
        <v>0</v>
      </c>
      <c r="H16" s="1010"/>
      <c r="I16" s="1010"/>
      <c r="J16" s="2084" t="s">
        <v>1125</v>
      </c>
      <c r="K16" s="2084" t="s">
        <v>1389</v>
      </c>
      <c r="L16" s="2084" t="s">
        <v>1126</v>
      </c>
      <c r="M16" s="896"/>
      <c r="N16" s="2084" t="s">
        <v>1127</v>
      </c>
      <c r="O16" s="2084" t="s">
        <v>1389</v>
      </c>
      <c r="P16" s="2084" t="s">
        <v>1390</v>
      </c>
    </row>
    <row r="17" spans="2:16">
      <c r="B17" s="2077"/>
      <c r="C17" s="846" t="str">
        <f t="shared" si="4"/>
        <v>東</v>
      </c>
      <c r="D17" s="847">
        <f>結果!H73</f>
        <v>0</v>
      </c>
      <c r="E17" s="847">
        <f>結果!J73</f>
        <v>0</v>
      </c>
      <c r="F17" s="847">
        <f>結果!L73</f>
        <v>0</v>
      </c>
      <c r="G17" s="848">
        <f>結果!Q73</f>
        <v>0</v>
      </c>
      <c r="H17" s="1010"/>
      <c r="I17" s="1010"/>
      <c r="J17" s="2085"/>
      <c r="K17" s="2085"/>
      <c r="L17" s="2085"/>
      <c r="M17" s="896"/>
      <c r="N17" s="2085"/>
      <c r="O17" s="2085"/>
      <c r="P17" s="2085"/>
    </row>
    <row r="18" spans="2:16">
      <c r="B18" s="2077"/>
      <c r="C18" s="846" t="str">
        <f t="shared" si="4"/>
        <v>南東</v>
      </c>
      <c r="D18" s="847">
        <f>結果!H74</f>
        <v>0</v>
      </c>
      <c r="E18" s="847">
        <f>結果!J74</f>
        <v>0</v>
      </c>
      <c r="F18" s="847">
        <f>結果!L74</f>
        <v>0</v>
      </c>
      <c r="G18" s="848">
        <f>結果!Q74</f>
        <v>0</v>
      </c>
      <c r="H18" s="1010"/>
      <c r="I18" s="1010"/>
      <c r="J18" s="2085"/>
      <c r="K18" s="2085"/>
      <c r="L18" s="2085"/>
      <c r="M18" s="896"/>
      <c r="N18" s="2085"/>
      <c r="O18" s="2085"/>
      <c r="P18" s="2085"/>
    </row>
    <row r="19" spans="2:16">
      <c r="B19" s="2077"/>
      <c r="C19" s="846" t="str">
        <f t="shared" si="4"/>
        <v>南</v>
      </c>
      <c r="D19" s="847">
        <f>結果!H75</f>
        <v>0</v>
      </c>
      <c r="E19" s="847">
        <f>結果!J75</f>
        <v>0</v>
      </c>
      <c r="F19" s="847">
        <f>結果!L75</f>
        <v>0</v>
      </c>
      <c r="G19" s="848">
        <f>結果!Q75</f>
        <v>0</v>
      </c>
      <c r="H19" s="1010"/>
      <c r="I19" s="1010"/>
      <c r="J19" s="2085"/>
      <c r="K19" s="2085"/>
      <c r="L19" s="2085"/>
      <c r="M19" s="896"/>
      <c r="N19" s="2085"/>
      <c r="O19" s="2085"/>
      <c r="P19" s="2085"/>
    </row>
    <row r="20" spans="2:16">
      <c r="B20" s="2077"/>
      <c r="C20" s="846" t="str">
        <f t="shared" si="4"/>
        <v>南西</v>
      </c>
      <c r="D20" s="847">
        <f>結果!H76</f>
        <v>0</v>
      </c>
      <c r="E20" s="847">
        <f>結果!J76</f>
        <v>0</v>
      </c>
      <c r="F20" s="847">
        <f>結果!L76</f>
        <v>0</v>
      </c>
      <c r="G20" s="848">
        <f>結果!Q76</f>
        <v>0</v>
      </c>
      <c r="H20" s="1010"/>
      <c r="I20" s="1010"/>
      <c r="J20" s="2085"/>
      <c r="K20" s="2085"/>
      <c r="L20" s="2085"/>
      <c r="M20" s="896"/>
      <c r="N20" s="2085"/>
      <c r="O20" s="2085"/>
      <c r="P20" s="2085"/>
    </row>
    <row r="21" spans="2:16">
      <c r="B21" s="2077"/>
      <c r="C21" s="846" t="str">
        <f t="shared" si="4"/>
        <v>西</v>
      </c>
      <c r="D21" s="847">
        <f>結果!H77</f>
        <v>0</v>
      </c>
      <c r="E21" s="847">
        <f>結果!J77</f>
        <v>0</v>
      </c>
      <c r="F21" s="847">
        <f>結果!L77</f>
        <v>0</v>
      </c>
      <c r="G21" s="848">
        <f>結果!Q77</f>
        <v>0</v>
      </c>
      <c r="H21" s="1010"/>
      <c r="I21" s="1010"/>
      <c r="J21" s="2085"/>
      <c r="K21" s="2085"/>
      <c r="L21" s="2085"/>
      <c r="M21" s="896"/>
      <c r="N21" s="2085"/>
      <c r="O21" s="2085"/>
      <c r="P21" s="2085"/>
    </row>
    <row r="22" spans="2:16" ht="13.5" thickBot="1">
      <c r="B22" s="2077"/>
      <c r="C22" s="849" t="str">
        <f t="shared" si="4"/>
        <v>北西</v>
      </c>
      <c r="D22" s="850">
        <f>結果!H78</f>
        <v>0</v>
      </c>
      <c r="E22" s="850">
        <f>結果!J78</f>
        <v>0</v>
      </c>
      <c r="F22" s="850">
        <f>結果!L78</f>
        <v>0</v>
      </c>
      <c r="G22" s="851">
        <f>結果!Q78</f>
        <v>0</v>
      </c>
      <c r="H22" s="1010"/>
      <c r="I22" s="1010"/>
      <c r="J22" s="2086"/>
      <c r="K22" s="2085"/>
      <c r="L22" s="2085"/>
      <c r="M22" s="896"/>
      <c r="N22" s="2085"/>
      <c r="O22" s="2085"/>
      <c r="P22" s="2085"/>
    </row>
    <row r="23" spans="2:16" ht="13.5" thickBot="1">
      <c r="B23" s="2079"/>
      <c r="C23" s="852" t="str">
        <f t="shared" si="4"/>
        <v>合計</v>
      </c>
      <c r="D23" s="853">
        <f>SUM(D15:D22)</f>
        <v>0</v>
      </c>
      <c r="E23" s="853">
        <f t="shared" ref="E23:G23" si="5">SUM(E15:E22)</f>
        <v>0</v>
      </c>
      <c r="F23" s="853">
        <f t="shared" si="5"/>
        <v>0</v>
      </c>
      <c r="G23" s="854">
        <f t="shared" si="5"/>
        <v>0</v>
      </c>
      <c r="H23" s="1010"/>
      <c r="I23" s="1010"/>
      <c r="J23" s="855" t="str">
        <f>IF(D32&gt;=D33,"９時",IF(E32&gt;=D33,"１２時","１５時"))</f>
        <v>９時</v>
      </c>
      <c r="K23" s="2087"/>
      <c r="L23" s="2087"/>
      <c r="M23" s="896"/>
      <c r="N23" s="999"/>
      <c r="O23" s="2087"/>
      <c r="P23" s="2087"/>
    </row>
    <row r="24" spans="2:16">
      <c r="B24" s="2076" t="s">
        <v>1129</v>
      </c>
      <c r="C24" s="856" t="str">
        <f>C15</f>
        <v>北</v>
      </c>
      <c r="D24" s="844">
        <f>D6-D15</f>
        <v>0</v>
      </c>
      <c r="E24" s="844">
        <f t="shared" ref="E24:G24" si="6">E6-E15</f>
        <v>0</v>
      </c>
      <c r="F24" s="844">
        <f t="shared" si="6"/>
        <v>0</v>
      </c>
      <c r="G24" s="845">
        <f t="shared" si="6"/>
        <v>0</v>
      </c>
      <c r="H24" s="1010"/>
      <c r="I24" s="1010"/>
      <c r="J24" s="857">
        <f>IF(D32&gt;=D33,D24,IF(E32&gt;=D33,E24,F24))</f>
        <v>0</v>
      </c>
      <c r="K24" s="858">
        <f>温度条件他根拠!C36</f>
        <v>0</v>
      </c>
      <c r="L24" s="859">
        <f>K24*J24</f>
        <v>0</v>
      </c>
      <c r="M24" s="896"/>
      <c r="N24" s="860">
        <f>G24</f>
        <v>0</v>
      </c>
      <c r="O24" s="858">
        <f>K24</f>
        <v>0</v>
      </c>
      <c r="P24" s="859">
        <f>O24*N24</f>
        <v>0</v>
      </c>
    </row>
    <row r="25" spans="2:16">
      <c r="B25" s="2077"/>
      <c r="C25" s="861" t="str">
        <f t="shared" si="4"/>
        <v>北東</v>
      </c>
      <c r="D25" s="847">
        <f t="shared" ref="D25:G31" si="7">D7-D16</f>
        <v>0</v>
      </c>
      <c r="E25" s="847">
        <f t="shared" si="7"/>
        <v>0</v>
      </c>
      <c r="F25" s="847">
        <f t="shared" si="7"/>
        <v>0</v>
      </c>
      <c r="G25" s="848">
        <f t="shared" si="7"/>
        <v>0</v>
      </c>
      <c r="H25" s="1010"/>
      <c r="I25" s="1010"/>
      <c r="J25" s="862">
        <f>IF(D32&gt;=D33,D25,IF(E32&gt;=D33,E25,F25))</f>
        <v>0</v>
      </c>
      <c r="K25" s="863">
        <f>温度条件他根拠!D36</f>
        <v>2.5</v>
      </c>
      <c r="L25" s="864">
        <f t="shared" ref="L25:L31" si="8">K25*J25</f>
        <v>0</v>
      </c>
      <c r="M25" s="896"/>
      <c r="N25" s="865">
        <f>G25</f>
        <v>0</v>
      </c>
      <c r="O25" s="863">
        <f>K25</f>
        <v>2.5</v>
      </c>
      <c r="P25" s="864">
        <f t="shared" ref="P25:P31" si="9">O25*N25</f>
        <v>0</v>
      </c>
    </row>
    <row r="26" spans="2:16">
      <c r="B26" s="2077"/>
      <c r="C26" s="861" t="str">
        <f t="shared" si="4"/>
        <v>東</v>
      </c>
      <c r="D26" s="847">
        <f t="shared" si="7"/>
        <v>0</v>
      </c>
      <c r="E26" s="847">
        <f t="shared" si="7"/>
        <v>0</v>
      </c>
      <c r="F26" s="847">
        <f t="shared" si="7"/>
        <v>0</v>
      </c>
      <c r="G26" s="848">
        <f t="shared" si="7"/>
        <v>0</v>
      </c>
      <c r="H26" s="1010"/>
      <c r="I26" s="1010"/>
      <c r="J26" s="862">
        <f>IF(D32&gt;=D33,D26,IF(E32&gt;=D33,E26,F26))</f>
        <v>0</v>
      </c>
      <c r="K26" s="863">
        <f>温度条件他根拠!E36</f>
        <v>3.5</v>
      </c>
      <c r="L26" s="864">
        <f t="shared" si="8"/>
        <v>0</v>
      </c>
      <c r="M26" s="896"/>
      <c r="N26" s="865">
        <f t="shared" ref="N26:N31" si="10">G26</f>
        <v>0</v>
      </c>
      <c r="O26" s="863">
        <f t="shared" ref="O26:O31" si="11">K26</f>
        <v>3.5</v>
      </c>
      <c r="P26" s="864">
        <f t="shared" si="9"/>
        <v>0</v>
      </c>
    </row>
    <row r="27" spans="2:16">
      <c r="B27" s="2077"/>
      <c r="C27" s="861" t="str">
        <f t="shared" si="4"/>
        <v>南東</v>
      </c>
      <c r="D27" s="847">
        <f t="shared" si="7"/>
        <v>0</v>
      </c>
      <c r="E27" s="847">
        <f t="shared" si="7"/>
        <v>0</v>
      </c>
      <c r="F27" s="847">
        <f t="shared" si="7"/>
        <v>0</v>
      </c>
      <c r="G27" s="848">
        <f t="shared" si="7"/>
        <v>0</v>
      </c>
      <c r="H27" s="1010"/>
      <c r="I27" s="1010"/>
      <c r="J27" s="862">
        <f>IF(D32&gt;=D33,D27,IF(E32&gt;=D33,E27,F27))</f>
        <v>0</v>
      </c>
      <c r="K27" s="863">
        <f>温度条件他根拠!F36</f>
        <v>4.5</v>
      </c>
      <c r="L27" s="864">
        <f t="shared" si="8"/>
        <v>0</v>
      </c>
      <c r="M27" s="896"/>
      <c r="N27" s="865">
        <f t="shared" si="10"/>
        <v>0</v>
      </c>
      <c r="O27" s="863">
        <f t="shared" si="11"/>
        <v>4.5</v>
      </c>
      <c r="P27" s="864">
        <f t="shared" si="9"/>
        <v>0</v>
      </c>
    </row>
    <row r="28" spans="2:16">
      <c r="B28" s="2077"/>
      <c r="C28" s="861" t="str">
        <f t="shared" si="4"/>
        <v>南</v>
      </c>
      <c r="D28" s="847">
        <f t="shared" si="7"/>
        <v>0</v>
      </c>
      <c r="E28" s="847">
        <f t="shared" si="7"/>
        <v>0</v>
      </c>
      <c r="F28" s="847">
        <f t="shared" si="7"/>
        <v>0</v>
      </c>
      <c r="G28" s="848">
        <f t="shared" si="7"/>
        <v>0</v>
      </c>
      <c r="H28" s="1010"/>
      <c r="I28" s="1010"/>
      <c r="J28" s="862">
        <f>IF(D32&gt;=D33,D28,IF(E32&gt;=D33,E28,F28))</f>
        <v>0</v>
      </c>
      <c r="K28" s="866">
        <f>温度条件他根拠!G36</f>
        <v>5</v>
      </c>
      <c r="L28" s="864">
        <f t="shared" si="8"/>
        <v>0</v>
      </c>
      <c r="M28" s="896"/>
      <c r="N28" s="865">
        <f t="shared" si="10"/>
        <v>0</v>
      </c>
      <c r="O28" s="866">
        <f t="shared" si="11"/>
        <v>5</v>
      </c>
      <c r="P28" s="864">
        <f t="shared" si="9"/>
        <v>0</v>
      </c>
    </row>
    <row r="29" spans="2:16">
      <c r="B29" s="2077"/>
      <c r="C29" s="861" t="str">
        <f t="shared" si="4"/>
        <v>南西</v>
      </c>
      <c r="D29" s="847">
        <f t="shared" si="7"/>
        <v>0</v>
      </c>
      <c r="E29" s="847">
        <f t="shared" si="7"/>
        <v>0</v>
      </c>
      <c r="F29" s="847">
        <f t="shared" si="7"/>
        <v>0</v>
      </c>
      <c r="G29" s="848">
        <f t="shared" si="7"/>
        <v>0</v>
      </c>
      <c r="H29" s="1010"/>
      <c r="I29" s="1010"/>
      <c r="J29" s="862">
        <f>IF(D32&gt;=D33,D29,IF(E32&gt;=D33,E29,F29))</f>
        <v>0</v>
      </c>
      <c r="K29" s="863">
        <f>温度条件他根拠!H36</f>
        <v>4.5</v>
      </c>
      <c r="L29" s="864">
        <f t="shared" si="8"/>
        <v>0</v>
      </c>
      <c r="M29" s="896"/>
      <c r="N29" s="865">
        <f t="shared" si="10"/>
        <v>0</v>
      </c>
      <c r="O29" s="863">
        <f t="shared" si="11"/>
        <v>4.5</v>
      </c>
      <c r="P29" s="864">
        <f t="shared" si="9"/>
        <v>0</v>
      </c>
    </row>
    <row r="30" spans="2:16">
      <c r="B30" s="2077"/>
      <c r="C30" s="861" t="str">
        <f t="shared" si="4"/>
        <v>西</v>
      </c>
      <c r="D30" s="847">
        <f t="shared" si="7"/>
        <v>0</v>
      </c>
      <c r="E30" s="847">
        <f t="shared" si="7"/>
        <v>0</v>
      </c>
      <c r="F30" s="847">
        <f t="shared" si="7"/>
        <v>0</v>
      </c>
      <c r="G30" s="848">
        <f t="shared" si="7"/>
        <v>0</v>
      </c>
      <c r="H30" s="1010"/>
      <c r="I30" s="1010"/>
      <c r="J30" s="862">
        <f>IF(D32&gt;=D33,D30,IF(E32&gt;=D33,E30,F30))</f>
        <v>0</v>
      </c>
      <c r="K30" s="863">
        <f>温度条件他根拠!I36</f>
        <v>3.5</v>
      </c>
      <c r="L30" s="864">
        <f t="shared" si="8"/>
        <v>0</v>
      </c>
      <c r="M30" s="896"/>
      <c r="N30" s="865">
        <f t="shared" si="10"/>
        <v>0</v>
      </c>
      <c r="O30" s="863">
        <f t="shared" si="11"/>
        <v>3.5</v>
      </c>
      <c r="P30" s="864">
        <f t="shared" si="9"/>
        <v>0</v>
      </c>
    </row>
    <row r="31" spans="2:16" ht="13.5" thickBot="1">
      <c r="B31" s="2077"/>
      <c r="C31" s="867" t="str">
        <f t="shared" si="4"/>
        <v>北西</v>
      </c>
      <c r="D31" s="850">
        <f t="shared" si="7"/>
        <v>0</v>
      </c>
      <c r="E31" s="850">
        <f t="shared" si="7"/>
        <v>0</v>
      </c>
      <c r="F31" s="850">
        <f t="shared" si="7"/>
        <v>0</v>
      </c>
      <c r="G31" s="851">
        <f t="shared" si="7"/>
        <v>0</v>
      </c>
      <c r="H31" s="1010"/>
      <c r="I31" s="1010"/>
      <c r="J31" s="868">
        <f>IF(D32&gt;=D33,D31,IF(E32&gt;=D33,E31,F31))</f>
        <v>0</v>
      </c>
      <c r="K31" s="869">
        <f>温度条件他根拠!J36</f>
        <v>2.5</v>
      </c>
      <c r="L31" s="870">
        <f t="shared" si="8"/>
        <v>0</v>
      </c>
      <c r="M31" s="896"/>
      <c r="N31" s="865">
        <f t="shared" si="10"/>
        <v>0</v>
      </c>
      <c r="O31" s="863">
        <f t="shared" si="11"/>
        <v>2.5</v>
      </c>
      <c r="P31" s="870">
        <f t="shared" si="9"/>
        <v>0</v>
      </c>
    </row>
    <row r="32" spans="2:16" ht="13.5" thickBot="1">
      <c r="B32" s="2078"/>
      <c r="C32" s="871" t="str">
        <f t="shared" si="4"/>
        <v>合計</v>
      </c>
      <c r="D32" s="872">
        <f>SUM(D24:D31)</f>
        <v>0</v>
      </c>
      <c r="E32" s="872">
        <f t="shared" ref="E32:G32" si="12">SUM(E24:E31)</f>
        <v>0</v>
      </c>
      <c r="F32" s="872">
        <f t="shared" si="12"/>
        <v>0</v>
      </c>
      <c r="G32" s="873">
        <f t="shared" si="12"/>
        <v>0</v>
      </c>
      <c r="H32" s="1010"/>
      <c r="I32" s="1010"/>
      <c r="J32" s="874">
        <f>SUM(J24:J31)</f>
        <v>0</v>
      </c>
      <c r="K32" s="875"/>
      <c r="L32" s="876">
        <f>SUM(L24:L31)</f>
        <v>0</v>
      </c>
      <c r="M32" s="896"/>
      <c r="N32" s="874">
        <f>SUM(N24:N31)</f>
        <v>0</v>
      </c>
      <c r="O32" s="875"/>
      <c r="P32" s="876">
        <f>SUM(P24:P31)</f>
        <v>0</v>
      </c>
    </row>
    <row r="33" spans="1:30" ht="13.5" thickBot="1">
      <c r="B33" s="2079"/>
      <c r="C33" s="871" t="s">
        <v>1130</v>
      </c>
      <c r="D33" s="2081">
        <f>MAX(D32:F32)</f>
        <v>0</v>
      </c>
      <c r="E33" s="2082"/>
      <c r="F33" s="2083"/>
      <c r="G33" s="873">
        <f>G32</f>
        <v>0</v>
      </c>
      <c r="H33" s="894"/>
      <c r="I33" s="894"/>
      <c r="J33" s="894"/>
      <c r="K33" s="894"/>
      <c r="L33" s="894"/>
      <c r="M33" s="896"/>
      <c r="N33" s="896"/>
      <c r="O33" s="896"/>
      <c r="P33" s="897"/>
    </row>
    <row r="34" spans="1:30">
      <c r="A34" s="897"/>
      <c r="B34" s="893"/>
      <c r="C34" s="894"/>
      <c r="D34" s="895"/>
      <c r="E34" s="894"/>
      <c r="F34" s="894"/>
      <c r="G34" s="895"/>
      <c r="H34" s="894"/>
      <c r="I34" s="894"/>
      <c r="J34" s="894"/>
      <c r="K34" s="894"/>
      <c r="L34" s="894"/>
      <c r="M34" s="896"/>
      <c r="N34" s="896"/>
      <c r="O34" s="896"/>
      <c r="P34" s="897"/>
      <c r="Q34" s="897"/>
      <c r="R34" s="897"/>
      <c r="S34" s="897"/>
      <c r="T34" s="897"/>
    </row>
    <row r="35" spans="1:30">
      <c r="A35" s="897"/>
      <c r="B35" s="893"/>
      <c r="C35" s="894"/>
      <c r="D35" s="895"/>
      <c r="E35" s="894"/>
      <c r="F35" s="894"/>
      <c r="G35" s="895"/>
      <c r="H35" s="894"/>
      <c r="I35" s="894"/>
      <c r="J35" s="894"/>
      <c r="K35" s="894"/>
      <c r="L35" s="894"/>
      <c r="M35" s="896"/>
      <c r="N35" s="896"/>
      <c r="O35" s="896"/>
      <c r="P35" s="897"/>
      <c r="Q35" s="897"/>
      <c r="R35" s="897"/>
      <c r="S35" s="897"/>
      <c r="T35" s="897"/>
    </row>
    <row r="36" spans="1:30">
      <c r="A36" s="897"/>
      <c r="B36" s="893"/>
      <c r="C36" s="894"/>
      <c r="D36" s="895"/>
      <c r="E36" s="894"/>
      <c r="F36" s="894"/>
      <c r="G36" s="895"/>
      <c r="H36" s="894"/>
      <c r="I36" s="894"/>
      <c r="J36" s="894"/>
      <c r="K36" s="894"/>
      <c r="L36" s="894"/>
      <c r="M36" s="896"/>
      <c r="N36" s="896"/>
      <c r="O36" s="896"/>
      <c r="P36" s="897"/>
      <c r="Q36" s="897"/>
      <c r="R36" s="897"/>
      <c r="S36" s="897"/>
      <c r="T36" s="897"/>
    </row>
    <row r="37" spans="1:30">
      <c r="A37" s="897"/>
      <c r="B37" s="893"/>
      <c r="C37" s="894"/>
      <c r="D37" s="895"/>
      <c r="E37" s="894"/>
      <c r="F37" s="894"/>
      <c r="G37" s="895"/>
      <c r="H37" s="894"/>
      <c r="I37" s="894"/>
      <c r="J37" s="894"/>
      <c r="K37" s="894"/>
      <c r="L37" s="894"/>
      <c r="M37" s="896"/>
      <c r="N37" s="896"/>
      <c r="O37" s="896"/>
      <c r="P37" s="897"/>
      <c r="Q37" s="897"/>
      <c r="R37" s="897"/>
      <c r="S37" s="897"/>
      <c r="T37" s="897"/>
    </row>
    <row r="38" spans="1:30">
      <c r="A38" s="897"/>
      <c r="B38" s="893"/>
      <c r="C38" s="894"/>
      <c r="D38" s="895"/>
      <c r="E38" s="894"/>
      <c r="F38" s="894"/>
      <c r="G38" s="895"/>
      <c r="H38" s="894"/>
      <c r="I38" s="894"/>
      <c r="J38" s="894"/>
      <c r="K38" s="894"/>
      <c r="L38" s="894"/>
      <c r="M38" s="896"/>
      <c r="N38" s="896"/>
      <c r="O38" s="896"/>
      <c r="P38" s="897"/>
      <c r="Q38" s="897"/>
      <c r="R38" s="897"/>
      <c r="S38" s="897"/>
      <c r="T38" s="897"/>
    </row>
    <row r="39" spans="1:30">
      <c r="A39" s="897"/>
      <c r="B39" s="893"/>
      <c r="C39" s="894"/>
      <c r="D39" s="895"/>
      <c r="E39" s="894"/>
      <c r="F39" s="894"/>
      <c r="G39" s="895"/>
      <c r="H39" s="894"/>
      <c r="I39" s="894"/>
      <c r="J39" s="894"/>
      <c r="K39" s="894"/>
      <c r="L39" s="894"/>
      <c r="M39" s="896"/>
      <c r="N39" s="896"/>
      <c r="O39" s="896"/>
      <c r="P39" s="897"/>
      <c r="Q39" s="897"/>
      <c r="R39" s="897"/>
      <c r="S39" s="897"/>
      <c r="T39" s="897"/>
    </row>
    <row r="40" spans="1:30">
      <c r="A40" s="897"/>
      <c r="B40" s="893"/>
      <c r="C40" s="894"/>
      <c r="D40" s="895"/>
      <c r="E40" s="894"/>
      <c r="F40" s="894"/>
      <c r="G40" s="895"/>
      <c r="H40" s="894"/>
      <c r="I40" s="894"/>
      <c r="J40" s="894"/>
      <c r="K40" s="894"/>
      <c r="L40" s="894"/>
      <c r="M40" s="896"/>
      <c r="N40" s="896"/>
      <c r="O40" s="896"/>
      <c r="P40" s="897"/>
      <c r="Q40" s="897"/>
      <c r="R40" s="897"/>
      <c r="S40" s="897"/>
      <c r="T40" s="897"/>
    </row>
    <row r="41" spans="1:30">
      <c r="A41" s="897"/>
      <c r="B41" s="893"/>
      <c r="C41" s="894"/>
      <c r="D41" s="895"/>
      <c r="E41" s="894"/>
      <c r="F41" s="894"/>
      <c r="G41" s="895"/>
      <c r="H41" s="894"/>
      <c r="I41" s="894"/>
      <c r="J41" s="894"/>
      <c r="K41" s="894"/>
      <c r="L41" s="894"/>
      <c r="M41" s="896"/>
      <c r="N41" s="896"/>
      <c r="O41" s="896"/>
      <c r="P41" s="897"/>
      <c r="Q41" s="897"/>
      <c r="R41" s="897"/>
      <c r="S41" s="897"/>
      <c r="T41" s="897"/>
    </row>
    <row r="42" spans="1:30">
      <c r="A42" s="897"/>
      <c r="B42" s="893"/>
      <c r="C42" s="894"/>
      <c r="D42" s="895"/>
      <c r="E42" s="894"/>
      <c r="F42" s="894"/>
      <c r="G42" s="895"/>
      <c r="H42" s="894"/>
      <c r="I42" s="894"/>
      <c r="J42" s="894"/>
      <c r="K42" s="894"/>
      <c r="L42" s="894"/>
      <c r="M42" s="896"/>
      <c r="N42" s="896"/>
      <c r="O42" s="896"/>
      <c r="P42" s="897"/>
      <c r="Q42" s="897"/>
      <c r="R42" s="897"/>
      <c r="S42" s="897"/>
      <c r="T42" s="897"/>
    </row>
    <row r="43" spans="1:30">
      <c r="A43" s="897"/>
      <c r="B43" s="893"/>
      <c r="C43" s="894"/>
      <c r="D43" s="895"/>
      <c r="E43" s="894"/>
      <c r="F43" s="894"/>
      <c r="G43" s="895"/>
      <c r="H43" s="894"/>
      <c r="I43" s="894"/>
      <c r="J43" s="894"/>
      <c r="K43" s="894"/>
      <c r="L43" s="894"/>
      <c r="M43" s="896"/>
      <c r="N43" s="896"/>
      <c r="O43" s="896"/>
      <c r="P43" s="897"/>
      <c r="Q43" s="897"/>
      <c r="R43" s="897"/>
      <c r="S43" s="897"/>
      <c r="T43" s="897"/>
    </row>
    <row r="44" spans="1:30">
      <c r="A44" s="897"/>
      <c r="B44" s="893"/>
      <c r="C44" s="894"/>
      <c r="D44" s="895"/>
      <c r="E44" s="894"/>
      <c r="F44" s="894"/>
      <c r="G44" s="895"/>
      <c r="H44" s="894"/>
      <c r="I44" s="894"/>
      <c r="J44" s="894"/>
      <c r="K44" s="894"/>
      <c r="L44" s="894"/>
      <c r="M44" s="896"/>
      <c r="N44" s="896"/>
      <c r="O44" s="896"/>
      <c r="P44" s="897"/>
      <c r="Q44" s="897"/>
      <c r="R44" s="897"/>
      <c r="S44" s="897"/>
      <c r="T44" s="897"/>
    </row>
    <row r="45" spans="1:30">
      <c r="B45" s="1129" t="s">
        <v>183</v>
      </c>
      <c r="C45" s="1129"/>
      <c r="D45" s="1129"/>
      <c r="E45" s="1129"/>
      <c r="F45" s="1129"/>
      <c r="G45" s="1129"/>
      <c r="H45" s="1129"/>
      <c r="I45" s="1129"/>
      <c r="J45" s="1129"/>
      <c r="K45" s="1129"/>
      <c r="L45" s="1129"/>
      <c r="M45" s="1129"/>
      <c r="N45" s="1129"/>
      <c r="O45" s="1129"/>
    </row>
    <row r="46" spans="1:30" ht="36">
      <c r="B46" s="554" t="s">
        <v>0</v>
      </c>
      <c r="C46" s="814" t="s">
        <v>1117</v>
      </c>
      <c r="D46" s="814" t="s">
        <v>1118</v>
      </c>
      <c r="E46" s="814" t="s">
        <v>1116</v>
      </c>
      <c r="F46" s="20" t="s">
        <v>42</v>
      </c>
      <c r="G46" s="20" t="s">
        <v>43</v>
      </c>
      <c r="H46" s="18" t="s">
        <v>35</v>
      </c>
      <c r="I46" s="18" t="s">
        <v>36</v>
      </c>
      <c r="J46" s="20" t="s">
        <v>2</v>
      </c>
      <c r="K46" s="20" t="s">
        <v>3</v>
      </c>
      <c r="L46" s="20" t="s">
        <v>39</v>
      </c>
      <c r="M46" s="20" t="s">
        <v>38</v>
      </c>
      <c r="N46" s="20" t="s">
        <v>45</v>
      </c>
      <c r="O46" s="20" t="s">
        <v>44</v>
      </c>
      <c r="Q46" s="554" t="s">
        <v>0</v>
      </c>
      <c r="R46" s="1017" t="s">
        <v>1391</v>
      </c>
      <c r="S46" s="1017" t="s">
        <v>1392</v>
      </c>
      <c r="T46" s="1011" t="s">
        <v>1116</v>
      </c>
      <c r="U46" s="20" t="s">
        <v>42</v>
      </c>
      <c r="V46" s="20" t="s">
        <v>43</v>
      </c>
      <c r="W46" s="18" t="s">
        <v>566</v>
      </c>
      <c r="X46" s="20" t="s">
        <v>567</v>
      </c>
      <c r="Y46" s="20" t="s">
        <v>2</v>
      </c>
      <c r="Z46" s="20" t="s">
        <v>3</v>
      </c>
      <c r="AA46" s="20" t="s">
        <v>568</v>
      </c>
      <c r="AB46" s="20" t="s">
        <v>569</v>
      </c>
      <c r="AC46" s="20" t="s">
        <v>570</v>
      </c>
      <c r="AD46" s="20" t="s">
        <v>571</v>
      </c>
    </row>
    <row r="47" spans="1:30" ht="36">
      <c r="B47" s="554" t="s">
        <v>14</v>
      </c>
      <c r="C47" s="20" t="s">
        <v>16</v>
      </c>
      <c r="D47" s="20" t="s">
        <v>17</v>
      </c>
      <c r="E47" s="704"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704" t="s">
        <v>18</v>
      </c>
      <c r="U47" s="20" t="s">
        <v>19</v>
      </c>
      <c r="V47" s="20" t="s">
        <v>20</v>
      </c>
      <c r="W47" s="20" t="s">
        <v>30</v>
      </c>
      <c r="X47" s="20" t="s">
        <v>29</v>
      </c>
      <c r="Y47" s="20" t="s">
        <v>21</v>
      </c>
      <c r="Z47" s="20" t="s">
        <v>22</v>
      </c>
      <c r="AA47" s="20" t="s">
        <v>608</v>
      </c>
      <c r="AB47" s="20" t="s">
        <v>607</v>
      </c>
      <c r="AC47" s="555" t="s">
        <v>25</v>
      </c>
      <c r="AD47" s="20" t="s">
        <v>32</v>
      </c>
    </row>
    <row r="48" spans="1:30">
      <c r="B48" s="553" t="s">
        <v>15</v>
      </c>
      <c r="C48" s="835" t="s">
        <v>1115</v>
      </c>
      <c r="D48" s="835" t="s">
        <v>1115</v>
      </c>
      <c r="E48" s="835" t="s">
        <v>172</v>
      </c>
      <c r="F48" s="5" t="s">
        <v>10</v>
      </c>
      <c r="G48" s="5" t="s">
        <v>10</v>
      </c>
      <c r="H48" s="5" t="s">
        <v>11</v>
      </c>
      <c r="I48" s="5" t="s">
        <v>11</v>
      </c>
      <c r="J48" s="5" t="s">
        <v>10</v>
      </c>
      <c r="K48" s="5" t="s">
        <v>10</v>
      </c>
      <c r="L48" s="5" t="s">
        <v>11</v>
      </c>
      <c r="M48" s="5" t="s">
        <v>11</v>
      </c>
      <c r="N48" s="5" t="s">
        <v>11</v>
      </c>
      <c r="O48" s="553" t="s">
        <v>31</v>
      </c>
      <c r="Q48" s="553" t="s">
        <v>15</v>
      </c>
      <c r="R48" s="835" t="s">
        <v>1115</v>
      </c>
      <c r="S48" s="835" t="s">
        <v>1115</v>
      </c>
      <c r="T48" s="835" t="s">
        <v>172</v>
      </c>
      <c r="U48" s="835" t="s">
        <v>10</v>
      </c>
      <c r="V48" s="835" t="s">
        <v>10</v>
      </c>
      <c r="W48" s="5" t="s">
        <v>11</v>
      </c>
      <c r="X48" s="5" t="s">
        <v>11</v>
      </c>
      <c r="Y48" s="5" t="s">
        <v>10</v>
      </c>
      <c r="Z48" s="5" t="s">
        <v>10</v>
      </c>
      <c r="AA48" s="5" t="s">
        <v>11</v>
      </c>
      <c r="AB48" s="5" t="s">
        <v>11</v>
      </c>
      <c r="AC48" s="5" t="s">
        <v>11</v>
      </c>
      <c r="AD48" s="553" t="s">
        <v>31</v>
      </c>
    </row>
    <row r="49" spans="2:30">
      <c r="B49" s="553">
        <v>1</v>
      </c>
      <c r="C49" s="3"/>
      <c r="D49" s="836">
        <f>P32</f>
        <v>0</v>
      </c>
      <c r="E49" s="837">
        <f>温度条件他根拠!E21</f>
        <v>0</v>
      </c>
      <c r="F49" s="838">
        <v>0</v>
      </c>
      <c r="G49" s="839">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553">
        <v>1</v>
      </c>
      <c r="R49" s="3"/>
      <c r="S49" s="836">
        <f>P14</f>
        <v>0</v>
      </c>
      <c r="T49" s="837">
        <f>温度条件他根拠!E21</f>
        <v>0</v>
      </c>
      <c r="U49" s="838">
        <f>F49</f>
        <v>0</v>
      </c>
      <c r="V49" s="1001">
        <f>G49</f>
        <v>0.79999999999999993</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553">
        <v>2</v>
      </c>
      <c r="C50" s="3"/>
      <c r="D50" s="3"/>
      <c r="E50" s="838">
        <f>E49</f>
        <v>0</v>
      </c>
      <c r="F50" s="838">
        <v>0</v>
      </c>
      <c r="G50" s="839">
        <f>0.8*(温度条件他根拠!$E$10-0)/(温度条件他根拠!$E$10-温度条件他根拠!$E$8)</f>
        <v>0.77294685990338163</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553">
        <v>2</v>
      </c>
      <c r="R50" s="3"/>
      <c r="S50" s="3"/>
      <c r="T50" s="838">
        <f>T49</f>
        <v>0</v>
      </c>
      <c r="U50" s="838">
        <f t="shared" ref="U50:V60" si="21">F50</f>
        <v>0</v>
      </c>
      <c r="V50" s="1001">
        <f t="shared" si="21"/>
        <v>0.77294685990338163</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553">
        <v>3</v>
      </c>
      <c r="C51" s="3"/>
      <c r="D51" s="3"/>
      <c r="E51" s="838">
        <f>E50</f>
        <v>0</v>
      </c>
      <c r="F51" s="838">
        <v>0</v>
      </c>
      <c r="G51" s="839">
        <f>0.8*(温度条件他根拠!$E$10-3.1)/(温度条件他根拠!$E$10-温度条件他根拠!$E$8)</f>
        <v>0.65314009661835748</v>
      </c>
      <c r="H51" s="7">
        <f t="shared" si="17"/>
        <v>0</v>
      </c>
      <c r="I51" s="7">
        <f t="shared" si="18"/>
        <v>0</v>
      </c>
      <c r="J51" s="2">
        <f>J50</f>
        <v>3.55</v>
      </c>
      <c r="K51" s="6">
        <f>K50</f>
        <v>3.95</v>
      </c>
      <c r="L51" s="7">
        <f t="shared" si="13"/>
        <v>0</v>
      </c>
      <c r="M51" s="7">
        <f t="shared" si="13"/>
        <v>0</v>
      </c>
      <c r="N51" s="13">
        <f t="shared" si="19"/>
        <v>0</v>
      </c>
      <c r="O51" s="12">
        <f t="shared" si="20"/>
        <v>0</v>
      </c>
      <c r="Q51" s="553">
        <v>3</v>
      </c>
      <c r="R51" s="3"/>
      <c r="S51" s="3"/>
      <c r="T51" s="838">
        <f t="shared" ref="T51:T60" si="24">T50</f>
        <v>0</v>
      </c>
      <c r="U51" s="838">
        <f t="shared" si="21"/>
        <v>0</v>
      </c>
      <c r="V51" s="1001">
        <f t="shared" si="21"/>
        <v>0.65314009661835748</v>
      </c>
      <c r="W51" s="7">
        <f t="shared" si="14"/>
        <v>0</v>
      </c>
      <c r="X51" s="7">
        <f t="shared" si="15"/>
        <v>0</v>
      </c>
      <c r="Y51" s="2">
        <f>Y50</f>
        <v>3.55</v>
      </c>
      <c r="Z51" s="6">
        <f>Z50</f>
        <v>3.95</v>
      </c>
      <c r="AA51" s="7">
        <f t="shared" si="16"/>
        <v>0</v>
      </c>
      <c r="AB51" s="7">
        <f t="shared" si="16"/>
        <v>0</v>
      </c>
      <c r="AC51" s="13">
        <f t="shared" si="22"/>
        <v>0</v>
      </c>
      <c r="AD51" s="12">
        <f t="shared" si="23"/>
        <v>0</v>
      </c>
    </row>
    <row r="52" spans="2:30">
      <c r="B52" s="553">
        <v>4</v>
      </c>
      <c r="C52" s="3"/>
      <c r="D52" s="3"/>
      <c r="E52" s="838">
        <f t="shared" ref="E52:E60" si="25">E51</f>
        <v>0</v>
      </c>
      <c r="F52" s="838">
        <v>0</v>
      </c>
      <c r="G52" s="839">
        <f>0.8*(温度条件他根拠!$E$10-8.4)/(温度条件他根拠!$E$10-温度条件他根拠!$E$8)</f>
        <v>0.44830917874396131</v>
      </c>
      <c r="H52" s="7">
        <f t="shared" si="17"/>
        <v>0</v>
      </c>
      <c r="I52" s="7">
        <f t="shared" si="18"/>
        <v>0</v>
      </c>
      <c r="J52" s="2">
        <f t="shared" ref="J52:K60" si="26">J51</f>
        <v>3.55</v>
      </c>
      <c r="K52" s="6">
        <f t="shared" si="26"/>
        <v>3.95</v>
      </c>
      <c r="L52" s="7">
        <f t="shared" si="13"/>
        <v>0</v>
      </c>
      <c r="M52" s="7">
        <f t="shared" si="13"/>
        <v>0</v>
      </c>
      <c r="N52" s="13">
        <f t="shared" si="19"/>
        <v>0</v>
      </c>
      <c r="O52" s="12">
        <f t="shared" si="20"/>
        <v>0</v>
      </c>
      <c r="Q52" s="553">
        <v>4</v>
      </c>
      <c r="R52" s="3"/>
      <c r="S52" s="3"/>
      <c r="T52" s="838">
        <f t="shared" si="24"/>
        <v>0</v>
      </c>
      <c r="U52" s="838">
        <f t="shared" si="21"/>
        <v>0</v>
      </c>
      <c r="V52" s="1001">
        <f t="shared" si="21"/>
        <v>0.44830917874396131</v>
      </c>
      <c r="W52" s="7">
        <f t="shared" si="14"/>
        <v>0</v>
      </c>
      <c r="X52" s="7">
        <f t="shared" si="15"/>
        <v>0</v>
      </c>
      <c r="Y52" s="2">
        <f t="shared" ref="Y52:Z60" si="27">Y51</f>
        <v>3.55</v>
      </c>
      <c r="Z52" s="6">
        <f t="shared" si="27"/>
        <v>3.95</v>
      </c>
      <c r="AA52" s="7">
        <f t="shared" si="16"/>
        <v>0</v>
      </c>
      <c r="AB52" s="7">
        <f t="shared" si="16"/>
        <v>0</v>
      </c>
      <c r="AC52" s="13">
        <f t="shared" si="22"/>
        <v>0</v>
      </c>
      <c r="AD52" s="12">
        <f t="shared" si="23"/>
        <v>0</v>
      </c>
    </row>
    <row r="53" spans="2:30">
      <c r="B53" s="553">
        <v>5</v>
      </c>
      <c r="C53" s="3"/>
      <c r="D53" s="3"/>
      <c r="E53" s="838">
        <f t="shared" si="25"/>
        <v>0</v>
      </c>
      <c r="F53" s="839">
        <f>0.175*(温度条件他根拠!$E$7-温度条件他根拠!$E$9)/(温度条件他根拠!$E$7-23.9)</f>
        <v>8.5312499999999958E-2</v>
      </c>
      <c r="G53" s="839">
        <f>0.2*(温度条件他根拠!$E$10-13.4)/(温度条件他根拠!$E$10-温度条件他根拠!$E$8)</f>
        <v>6.3768115942028997E-2</v>
      </c>
      <c r="H53" s="836">
        <f>$C$56*E53*F53/1000</f>
        <v>0</v>
      </c>
      <c r="I53" s="836">
        <f>G53*E53*$D$49/1000</f>
        <v>0</v>
      </c>
      <c r="J53" s="2">
        <f t="shared" si="26"/>
        <v>3.55</v>
      </c>
      <c r="K53" s="6">
        <f t="shared" si="26"/>
        <v>3.95</v>
      </c>
      <c r="L53" s="7">
        <f t="shared" si="13"/>
        <v>0</v>
      </c>
      <c r="M53" s="7">
        <f t="shared" si="13"/>
        <v>0</v>
      </c>
      <c r="N53" s="13">
        <f t="shared" si="19"/>
        <v>0</v>
      </c>
      <c r="O53" s="12">
        <f t="shared" si="20"/>
        <v>0</v>
      </c>
      <c r="Q53" s="553">
        <v>5</v>
      </c>
      <c r="R53" s="3"/>
      <c r="S53" s="3"/>
      <c r="T53" s="838">
        <f t="shared" si="24"/>
        <v>0</v>
      </c>
      <c r="U53" s="1001">
        <f t="shared" si="21"/>
        <v>8.5312499999999958E-2</v>
      </c>
      <c r="V53" s="1001">
        <f t="shared" si="21"/>
        <v>6.3768115942028997E-2</v>
      </c>
      <c r="W53" s="836">
        <f t="shared" si="14"/>
        <v>0</v>
      </c>
      <c r="X53" s="836">
        <f t="shared" si="15"/>
        <v>0</v>
      </c>
      <c r="Y53" s="2">
        <f t="shared" si="27"/>
        <v>3.55</v>
      </c>
      <c r="Z53" s="6">
        <f t="shared" si="27"/>
        <v>3.95</v>
      </c>
      <c r="AA53" s="7">
        <f t="shared" si="16"/>
        <v>0</v>
      </c>
      <c r="AB53" s="7">
        <f t="shared" si="16"/>
        <v>0</v>
      </c>
      <c r="AC53" s="13">
        <f t="shared" si="22"/>
        <v>0</v>
      </c>
      <c r="AD53" s="12">
        <f t="shared" si="23"/>
        <v>0</v>
      </c>
    </row>
    <row r="54" spans="2:30">
      <c r="B54" s="553">
        <v>6</v>
      </c>
      <c r="C54" s="3"/>
      <c r="D54" s="3"/>
      <c r="E54" s="838">
        <f t="shared" si="25"/>
        <v>0</v>
      </c>
      <c r="F54" s="839">
        <f>0.7*(温度条件他根拠!$E$7-温度条件他根拠!$E$9)/(温度条件他根拠!$E$7-26.4)</f>
        <v>0.49636363636363612</v>
      </c>
      <c r="G54" s="838">
        <v>0</v>
      </c>
      <c r="H54" s="7">
        <f t="shared" si="17"/>
        <v>0</v>
      </c>
      <c r="I54" s="7">
        <f t="shared" si="18"/>
        <v>0</v>
      </c>
      <c r="J54" s="2">
        <f t="shared" si="26"/>
        <v>3.55</v>
      </c>
      <c r="K54" s="6">
        <f t="shared" si="26"/>
        <v>3.95</v>
      </c>
      <c r="L54" s="7">
        <f t="shared" si="13"/>
        <v>0</v>
      </c>
      <c r="M54" s="7">
        <f t="shared" si="13"/>
        <v>0</v>
      </c>
      <c r="N54" s="13">
        <f t="shared" si="19"/>
        <v>0</v>
      </c>
      <c r="O54" s="12">
        <f t="shared" si="20"/>
        <v>0</v>
      </c>
      <c r="Q54" s="553">
        <v>6</v>
      </c>
      <c r="R54" s="3"/>
      <c r="S54" s="3"/>
      <c r="T54" s="838">
        <f t="shared" si="24"/>
        <v>0</v>
      </c>
      <c r="U54" s="1001">
        <f t="shared" si="21"/>
        <v>0.49636363636363612</v>
      </c>
      <c r="V54" s="838">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553">
        <v>7</v>
      </c>
      <c r="C55" s="3"/>
      <c r="D55" s="3"/>
      <c r="E55" s="838">
        <f t="shared" si="25"/>
        <v>0</v>
      </c>
      <c r="F55" s="839">
        <f>0.7*(温度条件他根拠!$E$7-温度条件他根拠!$E$9)/(温度条件他根拠!$E$7-28)</f>
        <v>0.7</v>
      </c>
      <c r="G55" s="838">
        <v>0</v>
      </c>
      <c r="H55" s="7">
        <f t="shared" si="17"/>
        <v>0</v>
      </c>
      <c r="I55" s="7">
        <f t="shared" si="18"/>
        <v>0</v>
      </c>
      <c r="J55" s="2">
        <f t="shared" si="26"/>
        <v>3.55</v>
      </c>
      <c r="K55" s="6">
        <f t="shared" si="26"/>
        <v>3.95</v>
      </c>
      <c r="L55" s="7">
        <f t="shared" si="13"/>
        <v>0</v>
      </c>
      <c r="M55" s="7">
        <f t="shared" si="13"/>
        <v>0</v>
      </c>
      <c r="N55" s="13">
        <f t="shared" si="19"/>
        <v>0</v>
      </c>
      <c r="O55" s="12">
        <f t="shared" si="20"/>
        <v>0</v>
      </c>
      <c r="Q55" s="553">
        <v>7</v>
      </c>
      <c r="R55" s="3"/>
      <c r="S55" s="3"/>
      <c r="T55" s="838">
        <f t="shared" si="24"/>
        <v>0</v>
      </c>
      <c r="U55" s="1001">
        <f t="shared" si="21"/>
        <v>0.7</v>
      </c>
      <c r="V55" s="838">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553">
        <v>8</v>
      </c>
      <c r="C56" s="836">
        <f>L32</f>
        <v>0</v>
      </c>
      <c r="D56" s="3"/>
      <c r="E56" s="838">
        <f t="shared" si="25"/>
        <v>0</v>
      </c>
      <c r="F56" s="839">
        <f>0.7*(温度条件他根拠!$E$7-温度条件他根拠!$E$9)/(温度条件他根拠!$E$7-28)</f>
        <v>0.7</v>
      </c>
      <c r="G56" s="838">
        <v>0</v>
      </c>
      <c r="H56" s="7">
        <f t="shared" si="17"/>
        <v>0</v>
      </c>
      <c r="I56" s="7">
        <f t="shared" si="18"/>
        <v>0</v>
      </c>
      <c r="J56" s="2">
        <f t="shared" si="26"/>
        <v>3.55</v>
      </c>
      <c r="K56" s="6">
        <f t="shared" si="26"/>
        <v>3.95</v>
      </c>
      <c r="L56" s="7">
        <f t="shared" si="13"/>
        <v>0</v>
      </c>
      <c r="M56" s="7">
        <f t="shared" si="13"/>
        <v>0</v>
      </c>
      <c r="N56" s="13">
        <f t="shared" si="19"/>
        <v>0</v>
      </c>
      <c r="O56" s="12">
        <f t="shared" si="20"/>
        <v>0</v>
      </c>
      <c r="Q56" s="553">
        <v>8</v>
      </c>
      <c r="R56" s="836">
        <f>L14</f>
        <v>0</v>
      </c>
      <c r="S56" s="3"/>
      <c r="T56" s="838">
        <f t="shared" si="24"/>
        <v>0</v>
      </c>
      <c r="U56" s="1001">
        <f t="shared" si="21"/>
        <v>0.7</v>
      </c>
      <c r="V56" s="838">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553">
        <v>9</v>
      </c>
      <c r="C57" s="3"/>
      <c r="D57" s="3"/>
      <c r="E57" s="838">
        <f t="shared" si="25"/>
        <v>0</v>
      </c>
      <c r="F57" s="839">
        <f>0.7*(温度条件他根拠!$E$7-温度条件他根拠!$E$9)/(温度条件他根拠!$E$7-27.2)</f>
        <v>0.58085106382978702</v>
      </c>
      <c r="G57" s="838">
        <v>0</v>
      </c>
      <c r="H57" s="7">
        <f t="shared" si="17"/>
        <v>0</v>
      </c>
      <c r="I57" s="7">
        <f t="shared" si="18"/>
        <v>0</v>
      </c>
      <c r="J57" s="2">
        <f t="shared" si="26"/>
        <v>3.55</v>
      </c>
      <c r="K57" s="6">
        <f t="shared" si="26"/>
        <v>3.95</v>
      </c>
      <c r="L57" s="7">
        <f t="shared" si="13"/>
        <v>0</v>
      </c>
      <c r="M57" s="7">
        <f t="shared" si="13"/>
        <v>0</v>
      </c>
      <c r="N57" s="13">
        <f t="shared" si="19"/>
        <v>0</v>
      </c>
      <c r="O57" s="12">
        <f t="shared" si="20"/>
        <v>0</v>
      </c>
      <c r="Q57" s="553">
        <v>9</v>
      </c>
      <c r="R57" s="3"/>
      <c r="S57" s="3"/>
      <c r="T57" s="838">
        <f t="shared" si="24"/>
        <v>0</v>
      </c>
      <c r="U57" s="1001">
        <f t="shared" si="21"/>
        <v>0.58085106382978702</v>
      </c>
      <c r="V57" s="838">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553">
        <v>10</v>
      </c>
      <c r="C58" s="3"/>
      <c r="D58" s="3"/>
      <c r="E58" s="838">
        <f t="shared" si="25"/>
        <v>0</v>
      </c>
      <c r="F58" s="839">
        <f>0.175*(温度条件他根拠!$E$7-温度条件他根拠!$E$9)/(温度条件他根拠!$E$7-21.7)</f>
        <v>6.6911764705882323E-2</v>
      </c>
      <c r="G58" s="839">
        <f>0.2*(温度条件他根拠!$E$10-13)/(温度条件他根拠!$E$10-温度条件他根拠!$E$8)</f>
        <v>6.7632850241545903E-2</v>
      </c>
      <c r="H58" s="836">
        <f>$C$56*E58*F58/1000</f>
        <v>0</v>
      </c>
      <c r="I58" s="836">
        <f>G58*E58*$D$49/1000</f>
        <v>0</v>
      </c>
      <c r="J58" s="2">
        <f t="shared" si="26"/>
        <v>3.55</v>
      </c>
      <c r="K58" s="6">
        <f t="shared" si="26"/>
        <v>3.95</v>
      </c>
      <c r="L58" s="7">
        <f t="shared" si="13"/>
        <v>0</v>
      </c>
      <c r="M58" s="7">
        <f t="shared" si="13"/>
        <v>0</v>
      </c>
      <c r="N58" s="13">
        <f t="shared" si="19"/>
        <v>0</v>
      </c>
      <c r="O58" s="12">
        <f t="shared" si="20"/>
        <v>0</v>
      </c>
      <c r="Q58" s="553">
        <v>10</v>
      </c>
      <c r="R58" s="3"/>
      <c r="S58" s="3"/>
      <c r="T58" s="838">
        <f t="shared" si="24"/>
        <v>0</v>
      </c>
      <c r="U58" s="1001">
        <f t="shared" si="21"/>
        <v>6.6911764705882323E-2</v>
      </c>
      <c r="V58" s="1001">
        <f t="shared" si="21"/>
        <v>6.7632850241545903E-2</v>
      </c>
      <c r="W58" s="836">
        <f>($R$56*T58*U58/1000)</f>
        <v>0</v>
      </c>
      <c r="X58" s="836">
        <f>(V58*T58*$S$49/1000)</f>
        <v>0</v>
      </c>
      <c r="Y58" s="2">
        <f t="shared" si="27"/>
        <v>3.55</v>
      </c>
      <c r="Z58" s="6">
        <f t="shared" si="27"/>
        <v>3.95</v>
      </c>
      <c r="AA58" s="7">
        <f t="shared" si="16"/>
        <v>0</v>
      </c>
      <c r="AB58" s="7">
        <f t="shared" si="16"/>
        <v>0</v>
      </c>
      <c r="AC58" s="13">
        <f t="shared" si="22"/>
        <v>0</v>
      </c>
      <c r="AD58" s="12">
        <f t="shared" si="23"/>
        <v>0</v>
      </c>
    </row>
    <row r="59" spans="2:30">
      <c r="B59" s="553">
        <v>11</v>
      </c>
      <c r="C59" s="3"/>
      <c r="D59" s="3"/>
      <c r="E59" s="838">
        <f t="shared" si="25"/>
        <v>0</v>
      </c>
      <c r="F59" s="838">
        <v>0</v>
      </c>
      <c r="G59" s="839">
        <f>0.8*(温度条件他根拠!$E$10-6.7)/(温度条件他根拠!$E$10-温度条件他根拠!$E$8)</f>
        <v>0.51400966183574881</v>
      </c>
      <c r="H59" s="7">
        <f t="shared" si="17"/>
        <v>0</v>
      </c>
      <c r="I59" s="7">
        <f t="shared" si="18"/>
        <v>0</v>
      </c>
      <c r="J59" s="2">
        <f t="shared" si="26"/>
        <v>3.55</v>
      </c>
      <c r="K59" s="6">
        <f t="shared" si="26"/>
        <v>3.95</v>
      </c>
      <c r="L59" s="7">
        <f t="shared" si="13"/>
        <v>0</v>
      </c>
      <c r="M59" s="7">
        <f t="shared" si="13"/>
        <v>0</v>
      </c>
      <c r="N59" s="13">
        <f t="shared" si="19"/>
        <v>0</v>
      </c>
      <c r="O59" s="12">
        <f t="shared" si="20"/>
        <v>0</v>
      </c>
      <c r="Q59" s="553">
        <v>11</v>
      </c>
      <c r="R59" s="3"/>
      <c r="S59" s="3"/>
      <c r="T59" s="838">
        <f t="shared" si="24"/>
        <v>0</v>
      </c>
      <c r="U59" s="838">
        <f t="shared" si="21"/>
        <v>0</v>
      </c>
      <c r="V59" s="1001">
        <f t="shared" si="21"/>
        <v>0.51400966183574881</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553">
        <v>12</v>
      </c>
      <c r="C60" s="3"/>
      <c r="D60" s="3"/>
      <c r="E60" s="838">
        <f t="shared" si="25"/>
        <v>0</v>
      </c>
      <c r="F60" s="838">
        <v>0</v>
      </c>
      <c r="G60" s="839">
        <f>0.8*(温度条件他根拠!$E$10-1.6)/(温度条件他根拠!$E$10-温度条件他根拠!$E$8)</f>
        <v>0.71111111111111103</v>
      </c>
      <c r="H60" s="7">
        <f t="shared" si="17"/>
        <v>0</v>
      </c>
      <c r="I60" s="7">
        <f t="shared" si="18"/>
        <v>0</v>
      </c>
      <c r="J60" s="2">
        <f t="shared" si="26"/>
        <v>3.55</v>
      </c>
      <c r="K60" s="6">
        <f t="shared" si="26"/>
        <v>3.95</v>
      </c>
      <c r="L60" s="7">
        <f t="shared" si="13"/>
        <v>0</v>
      </c>
      <c r="M60" s="7">
        <f t="shared" si="13"/>
        <v>0</v>
      </c>
      <c r="N60" s="13">
        <f t="shared" si="19"/>
        <v>0</v>
      </c>
      <c r="O60" s="12">
        <f t="shared" si="20"/>
        <v>0</v>
      </c>
      <c r="Q60" s="553">
        <v>12</v>
      </c>
      <c r="R60" s="3"/>
      <c r="S60" s="3"/>
      <c r="T60" s="838">
        <f t="shared" si="24"/>
        <v>0</v>
      </c>
      <c r="U60" s="838">
        <f t="shared" si="21"/>
        <v>0</v>
      </c>
      <c r="V60" s="1001">
        <f t="shared" si="21"/>
        <v>0.71111111111111103</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1079</v>
      </c>
    </row>
    <row r="86" spans="2:3">
      <c r="B86" s="691">
        <v>43927</v>
      </c>
      <c r="C86" s="690" t="s">
        <v>866</v>
      </c>
    </row>
    <row r="87" spans="2:3">
      <c r="B87" s="691">
        <v>44634</v>
      </c>
      <c r="C87" s="690" t="s">
        <v>1119</v>
      </c>
    </row>
    <row r="88" spans="2:3">
      <c r="C88" s="690" t="s">
        <v>1120</v>
      </c>
    </row>
    <row r="89" spans="2:3">
      <c r="C89" s="1" t="s">
        <v>1121</v>
      </c>
    </row>
    <row r="90" spans="2:3">
      <c r="C90" s="1" t="s">
        <v>1133</v>
      </c>
    </row>
    <row r="91" spans="2:3">
      <c r="C91" s="1" t="s">
        <v>1134</v>
      </c>
    </row>
  </sheetData>
  <mergeCells count="20">
    <mergeCell ref="B24:B33"/>
    <mergeCell ref="D33:F33"/>
    <mergeCell ref="B45:O45"/>
    <mergeCell ref="J16:J22"/>
    <mergeCell ref="K16:K23"/>
    <mergeCell ref="L16:L23"/>
    <mergeCell ref="N16:N22"/>
    <mergeCell ref="O16:O23"/>
    <mergeCell ref="P16:P23"/>
    <mergeCell ref="B4:C5"/>
    <mergeCell ref="D4:F4"/>
    <mergeCell ref="G4:G5"/>
    <mergeCell ref="B6:B14"/>
    <mergeCell ref="J3:J5"/>
    <mergeCell ref="B15:B23"/>
    <mergeCell ref="K3:K5"/>
    <mergeCell ref="L3:L5"/>
    <mergeCell ref="N3:N5"/>
    <mergeCell ref="O3:O5"/>
    <mergeCell ref="P3:P5"/>
  </mergeCells>
  <phoneticPr fontId="2"/>
  <pageMargins left="0" right="0" top="0.55118110236220474" bottom="0.15748031496062992" header="0.11811023622047245" footer="0"/>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B095E-43BA-476D-98AA-CF753B3FCCA8}">
  <sheetPr codeName="Sheet30">
    <tabColor rgb="FF92D050"/>
  </sheetPr>
  <dimension ref="B1:AD91"/>
  <sheetViews>
    <sheetView workbookViewId="0">
      <selection activeCell="H9" sqref="H9"/>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705" t="str">
        <f ca="1">RIGHT(CELL("filename",C1),LEN(CELL("filename",C1))-FIND("]",CELL("filename",C1)))</f>
        <v>熊谷市外壁断熱</v>
      </c>
      <c r="D1" s="81"/>
      <c r="E1" s="81"/>
      <c r="F1" s="81"/>
      <c r="G1" s="81"/>
      <c r="H1" s="81"/>
      <c r="I1" s="81"/>
      <c r="J1" s="81"/>
      <c r="K1" s="81"/>
      <c r="L1" s="81"/>
      <c r="M1" s="81"/>
      <c r="N1" s="81"/>
      <c r="O1" s="81"/>
    </row>
    <row r="2" spans="2:16" ht="13.5" thickBot="1"/>
    <row r="3" spans="2:16" ht="13.5" thickBot="1">
      <c r="B3" s="840" t="s">
        <v>1093</v>
      </c>
      <c r="C3" s="890"/>
      <c r="D3" s="841"/>
      <c r="E3" s="841"/>
      <c r="F3" s="841"/>
      <c r="G3" s="841"/>
      <c r="H3" s="1010"/>
      <c r="I3" s="1010"/>
      <c r="J3" s="2096" t="str">
        <f>J16</f>
        <v>D
時間帯合計値の最大値の方位別冷房負荷（計算採用値）</v>
      </c>
      <c r="K3" s="2099" t="str">
        <f>K16</f>
        <v>E
操業時間
(h/日)</v>
      </c>
      <c r="L3" s="2102" t="str">
        <f>L16</f>
        <v>①
＝ΣD×E
方位別
日冷房
負荷
削減量
（W・h/日）</v>
      </c>
      <c r="M3" s="897"/>
      <c r="N3" s="2096" t="str">
        <f>N16</f>
        <v>F
時間帯合計値の最大値の方位別暖房負荷（計算採用値）</v>
      </c>
      <c r="O3" s="2099" t="str">
        <f>O16</f>
        <v>E
操業時間
(h/日)</v>
      </c>
      <c r="P3" s="2102" t="str">
        <f>P16</f>
        <v>②
＝ΣF×E
方位別
日暖房
負荷
削減量
（W・h/日）</v>
      </c>
    </row>
    <row r="4" spans="2:16">
      <c r="B4" s="2088" t="s">
        <v>1094</v>
      </c>
      <c r="C4" s="2089"/>
      <c r="D4" s="2089" t="s">
        <v>1095</v>
      </c>
      <c r="E4" s="2089"/>
      <c r="F4" s="2089"/>
      <c r="G4" s="2092" t="s">
        <v>1122</v>
      </c>
      <c r="H4" s="894"/>
      <c r="I4" s="894"/>
      <c r="J4" s="2097"/>
      <c r="K4" s="2100"/>
      <c r="L4" s="2103"/>
      <c r="M4" s="896"/>
      <c r="N4" s="2097"/>
      <c r="O4" s="2100"/>
      <c r="P4" s="2103"/>
    </row>
    <row r="5" spans="2:16" ht="13.5" thickBot="1">
      <c r="B5" s="2090"/>
      <c r="C5" s="2091"/>
      <c r="D5" s="842" t="s">
        <v>1098</v>
      </c>
      <c r="E5" s="842" t="s">
        <v>1099</v>
      </c>
      <c r="F5" s="842" t="s">
        <v>1100</v>
      </c>
      <c r="G5" s="2093"/>
      <c r="H5" s="894"/>
      <c r="I5" s="894"/>
      <c r="J5" s="2098"/>
      <c r="K5" s="2101"/>
      <c r="L5" s="2104"/>
      <c r="M5" s="896"/>
      <c r="N5" s="2098"/>
      <c r="O5" s="2101"/>
      <c r="P5" s="2104"/>
    </row>
    <row r="6" spans="2:16">
      <c r="B6" s="2094" t="s">
        <v>1123</v>
      </c>
      <c r="C6" s="881" t="s">
        <v>1395</v>
      </c>
      <c r="D6" s="882">
        <f>結果!H31</f>
        <v>0</v>
      </c>
      <c r="E6" s="882">
        <f>結果!J31</f>
        <v>0</v>
      </c>
      <c r="F6" s="882">
        <f>結果!L31</f>
        <v>0</v>
      </c>
      <c r="G6" s="883">
        <f>結果!Q31</f>
        <v>0</v>
      </c>
      <c r="H6" s="894"/>
      <c r="I6" s="894"/>
      <c r="J6" s="857">
        <f>IF(D32&gt;=D33,D6,IF(E32&gt;=D33,E6,F6))</f>
        <v>0</v>
      </c>
      <c r="K6" s="857">
        <f>K24</f>
        <v>0</v>
      </c>
      <c r="L6" s="859">
        <f>K6*J6</f>
        <v>0</v>
      </c>
      <c r="M6" s="896"/>
      <c r="N6" s="860">
        <f>G6</f>
        <v>0</v>
      </c>
      <c r="O6" s="858">
        <f>K6</f>
        <v>0</v>
      </c>
      <c r="P6" s="859">
        <f>O6*N6</f>
        <v>0</v>
      </c>
    </row>
    <row r="7" spans="2:16">
      <c r="B7" s="2077"/>
      <c r="C7" s="877" t="s">
        <v>1396</v>
      </c>
      <c r="D7" s="847">
        <f>結果!H32</f>
        <v>0</v>
      </c>
      <c r="E7" s="847">
        <f>結果!J32</f>
        <v>0</v>
      </c>
      <c r="F7" s="847">
        <f>結果!L32</f>
        <v>0</v>
      </c>
      <c r="G7" s="879">
        <f>結果!Q32</f>
        <v>0</v>
      </c>
      <c r="H7" s="894"/>
      <c r="I7" s="894"/>
      <c r="J7" s="862">
        <f>IF(D32&gt;=D33,D7,IF(E32&gt;=D33,E7,F7))</f>
        <v>0</v>
      </c>
      <c r="K7" s="862">
        <f>K25</f>
        <v>0</v>
      </c>
      <c r="L7" s="864">
        <f t="shared" ref="L7:L13" si="0">K7*J7</f>
        <v>0</v>
      </c>
      <c r="M7" s="896"/>
      <c r="N7" s="865">
        <f>G7</f>
        <v>0</v>
      </c>
      <c r="O7" s="863">
        <f>K7</f>
        <v>0</v>
      </c>
      <c r="P7" s="864">
        <f t="shared" ref="P7:P13" si="1">O7*N7</f>
        <v>0</v>
      </c>
    </row>
    <row r="8" spans="2:16">
      <c r="B8" s="2077"/>
      <c r="C8" s="877" t="s">
        <v>1397</v>
      </c>
      <c r="D8" s="847">
        <f>結果!H33</f>
        <v>0</v>
      </c>
      <c r="E8" s="847">
        <f>結果!J33</f>
        <v>0</v>
      </c>
      <c r="F8" s="847">
        <f>結果!L33</f>
        <v>0</v>
      </c>
      <c r="G8" s="879">
        <f>結果!Q33</f>
        <v>0</v>
      </c>
      <c r="H8" s="894"/>
      <c r="I8" s="894"/>
      <c r="J8" s="862">
        <f>IF(D32&gt;=D33,D8,IF(E32&gt;=D33,E8,F8))</f>
        <v>0</v>
      </c>
      <c r="K8" s="862">
        <f t="shared" ref="K8:K13" si="2">K26</f>
        <v>0</v>
      </c>
      <c r="L8" s="864">
        <f t="shared" si="0"/>
        <v>0</v>
      </c>
      <c r="M8" s="896"/>
      <c r="N8" s="865">
        <f t="shared" ref="N8:N12" si="3">G8</f>
        <v>0</v>
      </c>
      <c r="O8" s="863">
        <f t="shared" ref="O8:O13" si="4">K8</f>
        <v>0</v>
      </c>
      <c r="P8" s="864">
        <f t="shared" si="1"/>
        <v>0</v>
      </c>
    </row>
    <row r="9" spans="2:16">
      <c r="B9" s="2077"/>
      <c r="C9" s="877" t="s">
        <v>1398</v>
      </c>
      <c r="D9" s="847">
        <f>結果!H34</f>
        <v>0</v>
      </c>
      <c r="E9" s="847">
        <f>結果!J34</f>
        <v>0</v>
      </c>
      <c r="F9" s="847">
        <f>結果!L34</f>
        <v>0</v>
      </c>
      <c r="G9" s="879">
        <f>結果!Q34</f>
        <v>0</v>
      </c>
      <c r="H9" s="894"/>
      <c r="I9" s="894"/>
      <c r="J9" s="862">
        <f>IF(D32&gt;=D33,D9,IF(E32&gt;=D33,E9,F9))</f>
        <v>0</v>
      </c>
      <c r="K9" s="862">
        <f t="shared" si="2"/>
        <v>0</v>
      </c>
      <c r="L9" s="864">
        <f t="shared" si="0"/>
        <v>0</v>
      </c>
      <c r="M9" s="896"/>
      <c r="N9" s="865">
        <f t="shared" si="3"/>
        <v>0</v>
      </c>
      <c r="O9" s="863">
        <f t="shared" si="4"/>
        <v>0</v>
      </c>
      <c r="P9" s="864">
        <f t="shared" si="1"/>
        <v>0</v>
      </c>
    </row>
    <row r="10" spans="2:16">
      <c r="B10" s="2077"/>
      <c r="C10" s="877" t="s">
        <v>1399</v>
      </c>
      <c r="D10" s="847">
        <f>結果!H35</f>
        <v>0</v>
      </c>
      <c r="E10" s="847">
        <f>結果!J35</f>
        <v>0</v>
      </c>
      <c r="F10" s="847">
        <f>結果!L35</f>
        <v>0</v>
      </c>
      <c r="G10" s="879">
        <f>結果!Q35</f>
        <v>0</v>
      </c>
      <c r="H10" s="894"/>
      <c r="I10" s="894"/>
      <c r="J10" s="862">
        <f>IF(D32&gt;=D33,D10,IF(E32&gt;=D33,E10,F10))</f>
        <v>0</v>
      </c>
      <c r="K10" s="862">
        <f t="shared" si="2"/>
        <v>0</v>
      </c>
      <c r="L10" s="864">
        <f t="shared" si="0"/>
        <v>0</v>
      </c>
      <c r="M10" s="896"/>
      <c r="N10" s="865">
        <f t="shared" si="3"/>
        <v>0</v>
      </c>
      <c r="O10" s="862">
        <f t="shared" si="4"/>
        <v>0</v>
      </c>
      <c r="P10" s="864">
        <f t="shared" si="1"/>
        <v>0</v>
      </c>
    </row>
    <row r="11" spans="2:16">
      <c r="B11" s="2077"/>
      <c r="C11" s="877" t="s">
        <v>1400</v>
      </c>
      <c r="D11" s="847">
        <f>結果!H36</f>
        <v>0</v>
      </c>
      <c r="E11" s="847">
        <f>結果!J36</f>
        <v>0</v>
      </c>
      <c r="F11" s="847">
        <f>結果!L36</f>
        <v>0</v>
      </c>
      <c r="G11" s="879">
        <f>結果!Q36</f>
        <v>0</v>
      </c>
      <c r="H11" s="894"/>
      <c r="I11" s="894"/>
      <c r="J11" s="862">
        <f>IF(D32&gt;=D33,D11,IF(E32&gt;=D33,E11,F11))</f>
        <v>0</v>
      </c>
      <c r="K11" s="862">
        <f t="shared" si="2"/>
        <v>0</v>
      </c>
      <c r="L11" s="864">
        <f t="shared" si="0"/>
        <v>0</v>
      </c>
      <c r="M11" s="896"/>
      <c r="N11" s="865">
        <f t="shared" si="3"/>
        <v>0</v>
      </c>
      <c r="O11" s="863">
        <f t="shared" si="4"/>
        <v>0</v>
      </c>
      <c r="P11" s="864">
        <f t="shared" si="1"/>
        <v>0</v>
      </c>
    </row>
    <row r="12" spans="2:16">
      <c r="B12" s="2077"/>
      <c r="C12" s="877" t="s">
        <v>1401</v>
      </c>
      <c r="D12" s="847">
        <f>結果!H37</f>
        <v>0</v>
      </c>
      <c r="E12" s="847">
        <f>結果!J37</f>
        <v>0</v>
      </c>
      <c r="F12" s="847">
        <f>結果!L37</f>
        <v>0</v>
      </c>
      <c r="G12" s="879">
        <f>結果!Q37</f>
        <v>0</v>
      </c>
      <c r="H12" s="894"/>
      <c r="I12" s="894"/>
      <c r="J12" s="862">
        <f>IF(D32&gt;=D33,D12,IF(E32&gt;=D33,E12,F12))</f>
        <v>0</v>
      </c>
      <c r="K12" s="862">
        <f t="shared" si="2"/>
        <v>0</v>
      </c>
      <c r="L12" s="864">
        <f t="shared" si="0"/>
        <v>0</v>
      </c>
      <c r="M12" s="896"/>
      <c r="N12" s="865">
        <f t="shared" si="3"/>
        <v>0</v>
      </c>
      <c r="O12" s="863">
        <f t="shared" si="4"/>
        <v>0</v>
      </c>
      <c r="P12" s="864">
        <f t="shared" si="1"/>
        <v>0</v>
      </c>
    </row>
    <row r="13" spans="2:16" ht="13.5" thickBot="1">
      <c r="B13" s="2077"/>
      <c r="C13" s="878" t="s">
        <v>1402</v>
      </c>
      <c r="D13" s="850">
        <f>結果!H38</f>
        <v>0</v>
      </c>
      <c r="E13" s="850">
        <f>結果!J38</f>
        <v>0</v>
      </c>
      <c r="F13" s="850">
        <f>結果!L38</f>
        <v>0</v>
      </c>
      <c r="G13" s="880">
        <f>結果!Q38</f>
        <v>0</v>
      </c>
      <c r="H13" s="894"/>
      <c r="I13" s="894"/>
      <c r="J13" s="868">
        <f>IF(D32&gt;=D33,D13,IF(E32&gt;=D33,E13,F13))</f>
        <v>0</v>
      </c>
      <c r="K13" s="862">
        <f t="shared" si="2"/>
        <v>0</v>
      </c>
      <c r="L13" s="870">
        <f t="shared" si="0"/>
        <v>0</v>
      </c>
      <c r="M13" s="896"/>
      <c r="N13" s="865">
        <f>G13</f>
        <v>0</v>
      </c>
      <c r="O13" s="863">
        <f t="shared" si="4"/>
        <v>0</v>
      </c>
      <c r="P13" s="870">
        <f t="shared" si="1"/>
        <v>0</v>
      </c>
    </row>
    <row r="14" spans="2:16" ht="13.5" customHeight="1" thickBot="1">
      <c r="B14" s="2095"/>
      <c r="C14" s="884" t="s">
        <v>1124</v>
      </c>
      <c r="D14" s="885">
        <f>SUM(D6:D13)</f>
        <v>0</v>
      </c>
      <c r="E14" s="885">
        <f t="shared" ref="E14:G14" si="5">SUM(E6:E13)</f>
        <v>0</v>
      </c>
      <c r="F14" s="885">
        <f t="shared" si="5"/>
        <v>0</v>
      </c>
      <c r="G14" s="886">
        <f t="shared" si="5"/>
        <v>0</v>
      </c>
      <c r="H14" s="894"/>
      <c r="I14" s="894"/>
      <c r="J14" s="874">
        <f>SUM(J6:J13)</f>
        <v>0</v>
      </c>
      <c r="K14" s="875"/>
      <c r="L14" s="876">
        <f>SUM(L6:L13)</f>
        <v>0</v>
      </c>
      <c r="M14" s="896"/>
      <c r="N14" s="874">
        <f>SUM(N6:N13)</f>
        <v>0</v>
      </c>
      <c r="O14" s="875"/>
      <c r="P14" s="876">
        <f>SUM(P6:P13)</f>
        <v>0</v>
      </c>
    </row>
    <row r="15" spans="2:16" ht="13.5" thickBot="1">
      <c r="B15" s="2088" t="s">
        <v>1128</v>
      </c>
      <c r="C15" s="843" t="str">
        <f>C6</f>
        <v>北</v>
      </c>
      <c r="D15" s="844">
        <f>結果!H71</f>
        <v>0</v>
      </c>
      <c r="E15" s="844">
        <f>結果!J71</f>
        <v>0</v>
      </c>
      <c r="F15" s="844">
        <f>結果!L71</f>
        <v>0</v>
      </c>
      <c r="G15" s="845">
        <f>結果!Q71</f>
        <v>0</v>
      </c>
      <c r="H15" s="1010"/>
      <c r="I15" s="1010"/>
      <c r="J15" s="894"/>
      <c r="K15" s="894"/>
      <c r="L15" s="894"/>
      <c r="M15" s="896"/>
      <c r="N15" s="896"/>
      <c r="O15" s="896"/>
      <c r="P15" s="897"/>
    </row>
    <row r="16" spans="2:16" ht="13" customHeight="1">
      <c r="B16" s="2077"/>
      <c r="C16" s="846" t="str">
        <f t="shared" ref="C16:C32" si="6">C7</f>
        <v>北東</v>
      </c>
      <c r="D16" s="847">
        <f>結果!H72</f>
        <v>0</v>
      </c>
      <c r="E16" s="847">
        <f>結果!J72</f>
        <v>0</v>
      </c>
      <c r="F16" s="847">
        <f>結果!L72</f>
        <v>0</v>
      </c>
      <c r="G16" s="848">
        <f>結果!Q72</f>
        <v>0</v>
      </c>
      <c r="H16" s="1010"/>
      <c r="I16" s="1010"/>
      <c r="J16" s="2084" t="s">
        <v>1125</v>
      </c>
      <c r="K16" s="2084" t="s">
        <v>1140</v>
      </c>
      <c r="L16" s="2084" t="s">
        <v>1126</v>
      </c>
      <c r="M16" s="896"/>
      <c r="N16" s="2084" t="s">
        <v>1127</v>
      </c>
      <c r="O16" s="2084" t="s">
        <v>1140</v>
      </c>
      <c r="P16" s="2084" t="s">
        <v>1390</v>
      </c>
    </row>
    <row r="17" spans="2:16">
      <c r="B17" s="2077"/>
      <c r="C17" s="846" t="str">
        <f t="shared" si="6"/>
        <v>東</v>
      </c>
      <c r="D17" s="847">
        <f>結果!H73</f>
        <v>0</v>
      </c>
      <c r="E17" s="847">
        <f>結果!J73</f>
        <v>0</v>
      </c>
      <c r="F17" s="847">
        <f>結果!L73</f>
        <v>0</v>
      </c>
      <c r="G17" s="848">
        <f>結果!Q73</f>
        <v>0</v>
      </c>
      <c r="H17" s="1010"/>
      <c r="I17" s="1010"/>
      <c r="J17" s="2085"/>
      <c r="K17" s="2085"/>
      <c r="L17" s="2085"/>
      <c r="M17" s="896"/>
      <c r="N17" s="2085"/>
      <c r="O17" s="2085"/>
      <c r="P17" s="2085"/>
    </row>
    <row r="18" spans="2:16">
      <c r="B18" s="2077"/>
      <c r="C18" s="846" t="str">
        <f t="shared" si="6"/>
        <v>南東</v>
      </c>
      <c r="D18" s="847">
        <f>結果!H74</f>
        <v>0</v>
      </c>
      <c r="E18" s="847">
        <f>結果!J74</f>
        <v>0</v>
      </c>
      <c r="F18" s="847">
        <f>結果!L74</f>
        <v>0</v>
      </c>
      <c r="G18" s="848">
        <f>結果!Q74</f>
        <v>0</v>
      </c>
      <c r="H18" s="1010"/>
      <c r="I18" s="1010"/>
      <c r="J18" s="2085"/>
      <c r="K18" s="2085"/>
      <c r="L18" s="2085"/>
      <c r="M18" s="896"/>
      <c r="N18" s="2085"/>
      <c r="O18" s="2085"/>
      <c r="P18" s="2085"/>
    </row>
    <row r="19" spans="2:16">
      <c r="B19" s="2077"/>
      <c r="C19" s="846" t="str">
        <f t="shared" si="6"/>
        <v>南</v>
      </c>
      <c r="D19" s="847">
        <f>結果!H75</f>
        <v>0</v>
      </c>
      <c r="E19" s="847">
        <f>結果!J75</f>
        <v>0</v>
      </c>
      <c r="F19" s="847">
        <f>結果!L75</f>
        <v>0</v>
      </c>
      <c r="G19" s="848">
        <f>結果!Q75</f>
        <v>0</v>
      </c>
      <c r="H19" s="1010"/>
      <c r="I19" s="1010"/>
      <c r="J19" s="2085"/>
      <c r="K19" s="2085"/>
      <c r="L19" s="2085"/>
      <c r="M19" s="896"/>
      <c r="N19" s="2085"/>
      <c r="O19" s="2085"/>
      <c r="P19" s="2085"/>
    </row>
    <row r="20" spans="2:16">
      <c r="B20" s="2077"/>
      <c r="C20" s="846" t="str">
        <f t="shared" si="6"/>
        <v>南西</v>
      </c>
      <c r="D20" s="847">
        <f>結果!H76</f>
        <v>0</v>
      </c>
      <c r="E20" s="847">
        <f>結果!J76</f>
        <v>0</v>
      </c>
      <c r="F20" s="847">
        <f>結果!L76</f>
        <v>0</v>
      </c>
      <c r="G20" s="848">
        <f>結果!Q76</f>
        <v>0</v>
      </c>
      <c r="H20" s="1010"/>
      <c r="I20" s="1010"/>
      <c r="J20" s="2085"/>
      <c r="K20" s="2085"/>
      <c r="L20" s="2085"/>
      <c r="M20" s="896"/>
      <c r="N20" s="2085"/>
      <c r="O20" s="2085"/>
      <c r="P20" s="2085"/>
    </row>
    <row r="21" spans="2:16">
      <c r="B21" s="2077"/>
      <c r="C21" s="846" t="str">
        <f t="shared" si="6"/>
        <v>西</v>
      </c>
      <c r="D21" s="847">
        <f>結果!H77</f>
        <v>0</v>
      </c>
      <c r="E21" s="847">
        <f>結果!J77</f>
        <v>0</v>
      </c>
      <c r="F21" s="847">
        <f>結果!L77</f>
        <v>0</v>
      </c>
      <c r="G21" s="848">
        <f>結果!Q77</f>
        <v>0</v>
      </c>
      <c r="H21" s="1010"/>
      <c r="I21" s="1010"/>
      <c r="J21" s="2085"/>
      <c r="K21" s="2085"/>
      <c r="L21" s="2085"/>
      <c r="M21" s="896"/>
      <c r="N21" s="2085"/>
      <c r="O21" s="2085"/>
      <c r="P21" s="2085"/>
    </row>
    <row r="22" spans="2:16" ht="13.5" thickBot="1">
      <c r="B22" s="2077"/>
      <c r="C22" s="849" t="str">
        <f t="shared" si="6"/>
        <v>北西</v>
      </c>
      <c r="D22" s="850">
        <f>結果!H78</f>
        <v>0</v>
      </c>
      <c r="E22" s="850">
        <f>結果!J78</f>
        <v>0</v>
      </c>
      <c r="F22" s="850">
        <f>結果!L78</f>
        <v>0</v>
      </c>
      <c r="G22" s="851">
        <f>結果!Q78</f>
        <v>0</v>
      </c>
      <c r="H22" s="1010"/>
      <c r="I22" s="1010"/>
      <c r="J22" s="2086"/>
      <c r="K22" s="2085"/>
      <c r="L22" s="2085"/>
      <c r="M22" s="896"/>
      <c r="N22" s="2085"/>
      <c r="O22" s="2085"/>
      <c r="P22" s="2085"/>
    </row>
    <row r="23" spans="2:16" ht="13.5" thickBot="1">
      <c r="B23" s="2079"/>
      <c r="C23" s="852" t="str">
        <f t="shared" si="6"/>
        <v>合計</v>
      </c>
      <c r="D23" s="853">
        <f>SUM(D15:D22)</f>
        <v>0</v>
      </c>
      <c r="E23" s="853">
        <f t="shared" ref="E23:G23" si="7">SUM(E15:E22)</f>
        <v>0</v>
      </c>
      <c r="F23" s="853">
        <f t="shared" si="7"/>
        <v>0</v>
      </c>
      <c r="G23" s="854">
        <f t="shared" si="7"/>
        <v>0</v>
      </c>
      <c r="H23" s="1010"/>
      <c r="I23" s="1010"/>
      <c r="J23" s="855" t="str">
        <f>IF(D32&gt;=D33,"９時",IF(E32&gt;=D33,"１２時","１５時"))</f>
        <v>９時</v>
      </c>
      <c r="K23" s="2087"/>
      <c r="L23" s="2087"/>
      <c r="M23" s="896"/>
      <c r="N23" s="999"/>
      <c r="O23" s="2087"/>
      <c r="P23" s="2087"/>
    </row>
    <row r="24" spans="2:16">
      <c r="B24" s="2076" t="s">
        <v>1129</v>
      </c>
      <c r="C24" s="856" t="str">
        <f>C15</f>
        <v>北</v>
      </c>
      <c r="D24" s="844">
        <f>D6-D15</f>
        <v>0</v>
      </c>
      <c r="E24" s="844">
        <f t="shared" ref="E24:G24" si="8">E6-E15</f>
        <v>0</v>
      </c>
      <c r="F24" s="844">
        <f t="shared" si="8"/>
        <v>0</v>
      </c>
      <c r="G24" s="845">
        <f t="shared" si="8"/>
        <v>0</v>
      </c>
      <c r="H24" s="1010"/>
      <c r="I24" s="1010"/>
      <c r="J24" s="857">
        <f>IF(D32&gt;=D33,D24,IF(E32&gt;=D33,E24,F24))</f>
        <v>0</v>
      </c>
      <c r="K24" s="908">
        <f>温度条件他根拠!E29</f>
        <v>0</v>
      </c>
      <c r="L24" s="859">
        <f>K24*J24</f>
        <v>0</v>
      </c>
      <c r="M24" s="896"/>
      <c r="N24" s="860">
        <f>G24</f>
        <v>0</v>
      </c>
      <c r="O24" s="860">
        <f>K24</f>
        <v>0</v>
      </c>
      <c r="P24" s="859">
        <f>O24*N24</f>
        <v>0</v>
      </c>
    </row>
    <row r="25" spans="2:16">
      <c r="B25" s="2077"/>
      <c r="C25" s="861" t="str">
        <f t="shared" si="6"/>
        <v>北東</v>
      </c>
      <c r="D25" s="847">
        <f t="shared" ref="D25:G31" si="9">D7-D16</f>
        <v>0</v>
      </c>
      <c r="E25" s="847">
        <f t="shared" si="9"/>
        <v>0</v>
      </c>
      <c r="F25" s="847">
        <f t="shared" si="9"/>
        <v>0</v>
      </c>
      <c r="G25" s="848">
        <f t="shared" si="9"/>
        <v>0</v>
      </c>
      <c r="H25" s="1010"/>
      <c r="I25" s="1010"/>
      <c r="J25" s="862">
        <f>IF(D32&gt;=D33,D25,IF(E32&gt;=D33,E25,F25))</f>
        <v>0</v>
      </c>
      <c r="K25" s="909">
        <f>K24</f>
        <v>0</v>
      </c>
      <c r="L25" s="864">
        <f t="shared" ref="L25:L31" si="10">K25*J25</f>
        <v>0</v>
      </c>
      <c r="M25" s="896"/>
      <c r="N25" s="865">
        <f>G25</f>
        <v>0</v>
      </c>
      <c r="O25" s="865">
        <f>K25</f>
        <v>0</v>
      </c>
      <c r="P25" s="864">
        <f t="shared" ref="P25:P31" si="11">O25*N25</f>
        <v>0</v>
      </c>
    </row>
    <row r="26" spans="2:16">
      <c r="B26" s="2077"/>
      <c r="C26" s="861" t="str">
        <f t="shared" si="6"/>
        <v>東</v>
      </c>
      <c r="D26" s="847">
        <f t="shared" si="9"/>
        <v>0</v>
      </c>
      <c r="E26" s="847">
        <f t="shared" si="9"/>
        <v>0</v>
      </c>
      <c r="F26" s="847">
        <f t="shared" si="9"/>
        <v>0</v>
      </c>
      <c r="G26" s="848">
        <f t="shared" si="9"/>
        <v>0</v>
      </c>
      <c r="H26" s="1010"/>
      <c r="I26" s="1010"/>
      <c r="J26" s="862">
        <f>IF(D32&gt;=D33,D26,IF(E32&gt;=D33,E26,F26))</f>
        <v>0</v>
      </c>
      <c r="K26" s="909">
        <f>K24</f>
        <v>0</v>
      </c>
      <c r="L26" s="864">
        <f t="shared" si="10"/>
        <v>0</v>
      </c>
      <c r="M26" s="896"/>
      <c r="N26" s="865">
        <f t="shared" ref="N26:N31" si="12">G26</f>
        <v>0</v>
      </c>
      <c r="O26" s="865">
        <f t="shared" ref="O26:O31" si="13">K26</f>
        <v>0</v>
      </c>
      <c r="P26" s="864">
        <f t="shared" si="11"/>
        <v>0</v>
      </c>
    </row>
    <row r="27" spans="2:16">
      <c r="B27" s="2077"/>
      <c r="C27" s="861" t="str">
        <f t="shared" si="6"/>
        <v>南東</v>
      </c>
      <c r="D27" s="847">
        <f t="shared" si="9"/>
        <v>0</v>
      </c>
      <c r="E27" s="847">
        <f t="shared" si="9"/>
        <v>0</v>
      </c>
      <c r="F27" s="847">
        <f t="shared" si="9"/>
        <v>0</v>
      </c>
      <c r="G27" s="848">
        <f t="shared" si="9"/>
        <v>0</v>
      </c>
      <c r="H27" s="1010"/>
      <c r="I27" s="1010"/>
      <c r="J27" s="862">
        <f>IF(D32&gt;=D33,D27,IF(E32&gt;=D33,E27,F27))</f>
        <v>0</v>
      </c>
      <c r="K27" s="909">
        <f t="shared" ref="K27:K31" si="14">K25</f>
        <v>0</v>
      </c>
      <c r="L27" s="864">
        <f t="shared" si="10"/>
        <v>0</v>
      </c>
      <c r="M27" s="896"/>
      <c r="N27" s="865">
        <f t="shared" si="12"/>
        <v>0</v>
      </c>
      <c r="O27" s="865">
        <f t="shared" si="13"/>
        <v>0</v>
      </c>
      <c r="P27" s="864">
        <f t="shared" si="11"/>
        <v>0</v>
      </c>
    </row>
    <row r="28" spans="2:16">
      <c r="B28" s="2077"/>
      <c r="C28" s="861" t="str">
        <f t="shared" si="6"/>
        <v>南</v>
      </c>
      <c r="D28" s="847">
        <f t="shared" si="9"/>
        <v>0</v>
      </c>
      <c r="E28" s="847">
        <f t="shared" si="9"/>
        <v>0</v>
      </c>
      <c r="F28" s="847">
        <f t="shared" si="9"/>
        <v>0</v>
      </c>
      <c r="G28" s="848">
        <f>G10-G19</f>
        <v>0</v>
      </c>
      <c r="H28" s="1010"/>
      <c r="I28" s="1010"/>
      <c r="J28" s="862">
        <f>IF(D32&gt;=D33,D28,IF(E32&gt;=D33,E28,F28))</f>
        <v>0</v>
      </c>
      <c r="K28" s="909">
        <f t="shared" si="14"/>
        <v>0</v>
      </c>
      <c r="L28" s="864">
        <f t="shared" si="10"/>
        <v>0</v>
      </c>
      <c r="M28" s="896"/>
      <c r="N28" s="865">
        <f t="shared" si="12"/>
        <v>0</v>
      </c>
      <c r="O28" s="865">
        <f t="shared" si="13"/>
        <v>0</v>
      </c>
      <c r="P28" s="864">
        <f t="shared" si="11"/>
        <v>0</v>
      </c>
    </row>
    <row r="29" spans="2:16">
      <c r="B29" s="2077"/>
      <c r="C29" s="861" t="str">
        <f t="shared" si="6"/>
        <v>南西</v>
      </c>
      <c r="D29" s="847">
        <f t="shared" si="9"/>
        <v>0</v>
      </c>
      <c r="E29" s="847">
        <f t="shared" si="9"/>
        <v>0</v>
      </c>
      <c r="F29" s="847">
        <f t="shared" si="9"/>
        <v>0</v>
      </c>
      <c r="G29" s="848">
        <f t="shared" si="9"/>
        <v>0</v>
      </c>
      <c r="H29" s="1010"/>
      <c r="I29" s="1010"/>
      <c r="J29" s="862">
        <f>IF(D32&gt;=D33,D29,IF(E32&gt;=D33,E29,F29))</f>
        <v>0</v>
      </c>
      <c r="K29" s="909">
        <f t="shared" si="14"/>
        <v>0</v>
      </c>
      <c r="L29" s="864">
        <f t="shared" si="10"/>
        <v>0</v>
      </c>
      <c r="M29" s="896"/>
      <c r="N29" s="865">
        <f t="shared" si="12"/>
        <v>0</v>
      </c>
      <c r="O29" s="865">
        <f t="shared" si="13"/>
        <v>0</v>
      </c>
      <c r="P29" s="864">
        <f t="shared" si="11"/>
        <v>0</v>
      </c>
    </row>
    <row r="30" spans="2:16">
      <c r="B30" s="2077"/>
      <c r="C30" s="861" t="str">
        <f t="shared" si="6"/>
        <v>西</v>
      </c>
      <c r="D30" s="847">
        <f t="shared" si="9"/>
        <v>0</v>
      </c>
      <c r="E30" s="847">
        <f t="shared" si="9"/>
        <v>0</v>
      </c>
      <c r="F30" s="847">
        <f t="shared" si="9"/>
        <v>0</v>
      </c>
      <c r="G30" s="848">
        <f t="shared" si="9"/>
        <v>0</v>
      </c>
      <c r="H30" s="1010"/>
      <c r="I30" s="1010"/>
      <c r="J30" s="862">
        <f>IF(D32&gt;=D33,D30,IF(E32&gt;=D33,E30,F30))</f>
        <v>0</v>
      </c>
      <c r="K30" s="909">
        <f t="shared" si="14"/>
        <v>0</v>
      </c>
      <c r="L30" s="864">
        <f t="shared" si="10"/>
        <v>0</v>
      </c>
      <c r="M30" s="896"/>
      <c r="N30" s="865">
        <f t="shared" si="12"/>
        <v>0</v>
      </c>
      <c r="O30" s="865">
        <f t="shared" si="13"/>
        <v>0</v>
      </c>
      <c r="P30" s="864">
        <f t="shared" si="11"/>
        <v>0</v>
      </c>
    </row>
    <row r="31" spans="2:16" ht="13.5" thickBot="1">
      <c r="B31" s="2077"/>
      <c r="C31" s="867" t="str">
        <f t="shared" si="6"/>
        <v>北西</v>
      </c>
      <c r="D31" s="850">
        <f t="shared" si="9"/>
        <v>0</v>
      </c>
      <c r="E31" s="850">
        <f t="shared" si="9"/>
        <v>0</v>
      </c>
      <c r="F31" s="850">
        <f t="shared" si="9"/>
        <v>0</v>
      </c>
      <c r="G31" s="851">
        <f t="shared" si="9"/>
        <v>0</v>
      </c>
      <c r="H31" s="1010"/>
      <c r="I31" s="1010"/>
      <c r="J31" s="868">
        <f>IF(D32&gt;=D33,D31,IF(E32&gt;=D33,E31,F31))</f>
        <v>0</v>
      </c>
      <c r="K31" s="909">
        <f t="shared" si="14"/>
        <v>0</v>
      </c>
      <c r="L31" s="870">
        <f t="shared" si="10"/>
        <v>0</v>
      </c>
      <c r="M31" s="896"/>
      <c r="N31" s="865">
        <f t="shared" si="12"/>
        <v>0</v>
      </c>
      <c r="O31" s="865">
        <f t="shared" si="13"/>
        <v>0</v>
      </c>
      <c r="P31" s="870">
        <f t="shared" si="11"/>
        <v>0</v>
      </c>
    </row>
    <row r="32" spans="2:16" ht="13.5" thickBot="1">
      <c r="B32" s="2078"/>
      <c r="C32" s="871" t="str">
        <f t="shared" si="6"/>
        <v>合計</v>
      </c>
      <c r="D32" s="872">
        <f>SUM(D24:D31)</f>
        <v>0</v>
      </c>
      <c r="E32" s="872">
        <f t="shared" ref="E32:G32" si="15">SUM(E24:E31)</f>
        <v>0</v>
      </c>
      <c r="F32" s="872">
        <f t="shared" si="15"/>
        <v>0</v>
      </c>
      <c r="G32" s="873">
        <f t="shared" si="15"/>
        <v>0</v>
      </c>
      <c r="H32" s="1010"/>
      <c r="I32" s="1010"/>
      <c r="J32" s="874">
        <f>SUM(J24:J31)</f>
        <v>0</v>
      </c>
      <c r="K32" s="875"/>
      <c r="L32" s="876">
        <f>SUM(L24:L31)</f>
        <v>0</v>
      </c>
      <c r="M32" s="896"/>
      <c r="N32" s="874">
        <f>SUM(N24:N31)</f>
        <v>0</v>
      </c>
      <c r="O32" s="875"/>
      <c r="P32" s="876">
        <f>SUM(P24:P31)</f>
        <v>0</v>
      </c>
    </row>
    <row r="33" spans="2:30" ht="13.5" thickBot="1">
      <c r="B33" s="2079"/>
      <c r="C33" s="871" t="s">
        <v>1130</v>
      </c>
      <c r="D33" s="2081">
        <f>MAX(D32:F32)</f>
        <v>0</v>
      </c>
      <c r="E33" s="2082"/>
      <c r="F33" s="2083"/>
      <c r="G33" s="873">
        <f>G32</f>
        <v>0</v>
      </c>
      <c r="H33" s="894"/>
      <c r="I33" s="894"/>
      <c r="J33" s="894"/>
      <c r="K33" s="894"/>
      <c r="L33" s="894"/>
      <c r="M33" s="896"/>
      <c r="N33" s="896"/>
      <c r="O33" s="896"/>
      <c r="P33" s="897"/>
      <c r="Q33" s="897"/>
    </row>
    <row r="34" spans="2:30" s="897" customFormat="1">
      <c r="B34" s="893"/>
      <c r="C34" s="894"/>
      <c r="D34" s="895"/>
      <c r="E34" s="894"/>
      <c r="F34" s="894"/>
      <c r="G34" s="895"/>
      <c r="H34" s="894"/>
      <c r="I34" s="894"/>
      <c r="J34" s="894"/>
      <c r="K34" s="894"/>
      <c r="L34" s="894"/>
      <c r="M34" s="896"/>
      <c r="N34" s="896"/>
      <c r="O34" s="896"/>
    </row>
    <row r="35" spans="2:30" s="897" customFormat="1">
      <c r="B35" s="893"/>
      <c r="C35" s="894"/>
      <c r="D35" s="895"/>
      <c r="E35" s="894"/>
      <c r="F35" s="894"/>
      <c r="G35" s="895"/>
      <c r="H35" s="894"/>
      <c r="I35" s="894"/>
      <c r="J35" s="894"/>
      <c r="K35" s="894"/>
      <c r="L35" s="894"/>
      <c r="M35" s="896"/>
      <c r="N35" s="896"/>
      <c r="O35" s="896"/>
    </row>
    <row r="36" spans="2:30" s="897" customFormat="1">
      <c r="B36" s="893"/>
      <c r="C36" s="894"/>
      <c r="D36" s="895"/>
      <c r="E36" s="894"/>
      <c r="F36" s="894"/>
      <c r="G36" s="895"/>
      <c r="H36" s="894"/>
      <c r="I36" s="894"/>
      <c r="J36" s="894"/>
      <c r="K36" s="894"/>
      <c r="L36" s="894"/>
      <c r="M36" s="896"/>
      <c r="N36" s="896"/>
      <c r="O36" s="896"/>
    </row>
    <row r="37" spans="2:30" s="897" customFormat="1">
      <c r="B37" s="893"/>
      <c r="C37" s="894"/>
      <c r="D37" s="895"/>
      <c r="E37" s="894"/>
      <c r="F37" s="894"/>
      <c r="G37" s="895"/>
      <c r="H37" s="894"/>
      <c r="I37" s="894"/>
      <c r="J37" s="894"/>
      <c r="K37" s="894"/>
      <c r="L37" s="894"/>
      <c r="M37" s="896"/>
      <c r="N37" s="896"/>
      <c r="O37" s="896"/>
    </row>
    <row r="38" spans="2:30" s="897" customFormat="1">
      <c r="B38" s="893"/>
      <c r="C38" s="894"/>
      <c r="D38" s="895"/>
      <c r="E38" s="894"/>
      <c r="F38" s="894"/>
      <c r="G38" s="895"/>
      <c r="H38" s="894"/>
      <c r="I38" s="894"/>
      <c r="J38" s="894"/>
      <c r="K38" s="894"/>
      <c r="L38" s="894"/>
      <c r="M38" s="896"/>
      <c r="N38" s="896"/>
      <c r="O38" s="896"/>
    </row>
    <row r="39" spans="2:30" s="897" customFormat="1">
      <c r="B39" s="893"/>
      <c r="C39" s="894"/>
      <c r="D39" s="895"/>
      <c r="E39" s="894"/>
      <c r="F39" s="894"/>
      <c r="G39" s="895"/>
      <c r="H39" s="894"/>
      <c r="I39" s="894"/>
      <c r="J39" s="894"/>
      <c r="K39" s="894"/>
      <c r="L39" s="894"/>
      <c r="M39" s="896"/>
      <c r="N39" s="896"/>
      <c r="O39" s="896"/>
    </row>
    <row r="40" spans="2:30" s="897" customFormat="1">
      <c r="B40" s="893"/>
      <c r="C40" s="894"/>
      <c r="D40" s="895"/>
      <c r="E40" s="894"/>
      <c r="F40" s="894"/>
      <c r="G40" s="895"/>
      <c r="H40" s="894"/>
      <c r="I40" s="894"/>
      <c r="J40" s="894"/>
      <c r="K40" s="894"/>
      <c r="L40" s="894"/>
      <c r="M40" s="896"/>
      <c r="N40" s="896"/>
      <c r="O40" s="896"/>
    </row>
    <row r="41" spans="2:30" s="897" customFormat="1">
      <c r="B41" s="893"/>
      <c r="C41" s="894"/>
      <c r="D41" s="895"/>
      <c r="E41" s="894"/>
      <c r="F41" s="894"/>
      <c r="G41" s="895"/>
      <c r="H41" s="894"/>
      <c r="I41" s="894"/>
      <c r="J41" s="894"/>
      <c r="K41" s="894"/>
      <c r="L41" s="894"/>
      <c r="M41" s="896"/>
      <c r="N41" s="896"/>
      <c r="O41" s="896"/>
    </row>
    <row r="42" spans="2:30" s="897" customFormat="1">
      <c r="B42" s="893"/>
      <c r="C42" s="894"/>
      <c r="D42" s="895"/>
      <c r="E42" s="894"/>
      <c r="F42" s="894"/>
      <c r="G42" s="895"/>
      <c r="H42" s="894"/>
      <c r="I42" s="894"/>
      <c r="J42" s="894"/>
      <c r="K42" s="894"/>
      <c r="L42" s="894"/>
      <c r="M42" s="896"/>
      <c r="N42" s="896"/>
      <c r="O42" s="896"/>
    </row>
    <row r="43" spans="2:30" s="897" customFormat="1">
      <c r="B43" s="893"/>
      <c r="C43" s="894"/>
      <c r="D43" s="895"/>
      <c r="E43" s="894"/>
      <c r="F43" s="894"/>
      <c r="G43" s="895"/>
      <c r="H43" s="894"/>
      <c r="I43" s="894"/>
      <c r="J43" s="894"/>
      <c r="K43" s="894"/>
      <c r="L43" s="894"/>
      <c r="M43" s="896"/>
      <c r="N43" s="896"/>
      <c r="O43" s="896"/>
    </row>
    <row r="44" spans="2:30" s="897" customFormat="1">
      <c r="B44" s="893"/>
      <c r="C44" s="894"/>
      <c r="D44" s="895"/>
      <c r="E44" s="894"/>
      <c r="F44" s="894"/>
      <c r="G44" s="895"/>
      <c r="H44" s="894"/>
      <c r="I44" s="894"/>
      <c r="J44" s="894"/>
      <c r="K44" s="894"/>
      <c r="L44" s="894"/>
      <c r="M44" s="896"/>
      <c r="N44" s="896"/>
      <c r="O44" s="896"/>
    </row>
    <row r="45" spans="2:30">
      <c r="B45" s="1129" t="s">
        <v>183</v>
      </c>
      <c r="C45" s="1129"/>
      <c r="D45" s="1129"/>
      <c r="E45" s="1129"/>
      <c r="F45" s="1129"/>
      <c r="G45" s="1129"/>
      <c r="H45" s="1129"/>
      <c r="I45" s="1129"/>
      <c r="J45" s="1129"/>
      <c r="K45" s="1129"/>
      <c r="L45" s="1129"/>
      <c r="M45" s="1129"/>
      <c r="N45" s="1129"/>
      <c r="O45" s="1129"/>
    </row>
    <row r="46" spans="2:30" ht="36">
      <c r="B46" s="801" t="s">
        <v>0</v>
      </c>
      <c r="C46" s="814" t="s">
        <v>1117</v>
      </c>
      <c r="D46" s="814" t="s">
        <v>1118</v>
      </c>
      <c r="E46" s="814" t="s">
        <v>1116</v>
      </c>
      <c r="F46" s="20" t="s">
        <v>42</v>
      </c>
      <c r="G46" s="20" t="s">
        <v>43</v>
      </c>
      <c r="H46" s="18" t="s">
        <v>35</v>
      </c>
      <c r="I46" s="18" t="s">
        <v>36</v>
      </c>
      <c r="J46" s="20" t="s">
        <v>2</v>
      </c>
      <c r="K46" s="20" t="s">
        <v>3</v>
      </c>
      <c r="L46" s="20" t="s">
        <v>39</v>
      </c>
      <c r="M46" s="20" t="s">
        <v>38</v>
      </c>
      <c r="N46" s="20" t="s">
        <v>45</v>
      </c>
      <c r="O46" s="20" t="s">
        <v>44</v>
      </c>
      <c r="Q46" s="801" t="s">
        <v>0</v>
      </c>
      <c r="R46" s="1017" t="s">
        <v>1391</v>
      </c>
      <c r="S46" s="1017" t="s">
        <v>1392</v>
      </c>
      <c r="T46" s="1011" t="s">
        <v>1116</v>
      </c>
      <c r="U46" s="20" t="s">
        <v>42</v>
      </c>
      <c r="V46" s="20" t="s">
        <v>43</v>
      </c>
      <c r="W46" s="18" t="s">
        <v>566</v>
      </c>
      <c r="X46" s="20" t="s">
        <v>567</v>
      </c>
      <c r="Y46" s="20" t="s">
        <v>2</v>
      </c>
      <c r="Z46" s="20" t="s">
        <v>3</v>
      </c>
      <c r="AA46" s="20" t="s">
        <v>568</v>
      </c>
      <c r="AB46" s="20" t="s">
        <v>569</v>
      </c>
      <c r="AC46" s="20" t="s">
        <v>570</v>
      </c>
      <c r="AD46" s="20" t="s">
        <v>571</v>
      </c>
    </row>
    <row r="47" spans="2:30" ht="36">
      <c r="B47" s="801" t="s">
        <v>14</v>
      </c>
      <c r="C47" s="20" t="s">
        <v>16</v>
      </c>
      <c r="D47" s="20" t="s">
        <v>17</v>
      </c>
      <c r="E47" s="704" t="s">
        <v>18</v>
      </c>
      <c r="F47" s="20" t="s">
        <v>19</v>
      </c>
      <c r="G47" s="20" t="s">
        <v>20</v>
      </c>
      <c r="H47" s="20" t="s">
        <v>30</v>
      </c>
      <c r="I47" s="20" t="s">
        <v>29</v>
      </c>
      <c r="J47" s="20" t="s">
        <v>21</v>
      </c>
      <c r="K47" s="20" t="s">
        <v>22</v>
      </c>
      <c r="L47" s="20" t="s">
        <v>608</v>
      </c>
      <c r="M47" s="20" t="s">
        <v>607</v>
      </c>
      <c r="N47" s="802" t="s">
        <v>25</v>
      </c>
      <c r="O47" s="20" t="s">
        <v>32</v>
      </c>
      <c r="Q47" s="801" t="s">
        <v>14</v>
      </c>
      <c r="R47" s="20" t="s">
        <v>16</v>
      </c>
      <c r="S47" s="20" t="s">
        <v>17</v>
      </c>
      <c r="T47" s="20" t="s">
        <v>18</v>
      </c>
      <c r="U47" s="20" t="s">
        <v>19</v>
      </c>
      <c r="V47" s="20" t="s">
        <v>20</v>
      </c>
      <c r="W47" s="20" t="s">
        <v>30</v>
      </c>
      <c r="X47" s="20" t="s">
        <v>29</v>
      </c>
      <c r="Y47" s="20" t="s">
        <v>21</v>
      </c>
      <c r="Z47" s="20" t="s">
        <v>22</v>
      </c>
      <c r="AA47" s="20" t="s">
        <v>608</v>
      </c>
      <c r="AB47" s="20" t="s">
        <v>607</v>
      </c>
      <c r="AC47" s="802" t="s">
        <v>25</v>
      </c>
      <c r="AD47" s="20" t="s">
        <v>32</v>
      </c>
    </row>
    <row r="48" spans="2:30">
      <c r="B48" s="798" t="s">
        <v>15</v>
      </c>
      <c r="C48" s="835" t="s">
        <v>1115</v>
      </c>
      <c r="D48" s="835" t="s">
        <v>1115</v>
      </c>
      <c r="E48" s="835" t="s">
        <v>172</v>
      </c>
      <c r="F48" s="5" t="s">
        <v>10</v>
      </c>
      <c r="G48" s="5" t="s">
        <v>10</v>
      </c>
      <c r="H48" s="5" t="s">
        <v>11</v>
      </c>
      <c r="I48" s="5" t="s">
        <v>11</v>
      </c>
      <c r="J48" s="5" t="s">
        <v>10</v>
      </c>
      <c r="K48" s="5" t="s">
        <v>10</v>
      </c>
      <c r="L48" s="5" t="s">
        <v>11</v>
      </c>
      <c r="M48" s="5" t="s">
        <v>11</v>
      </c>
      <c r="N48" s="5" t="s">
        <v>11</v>
      </c>
      <c r="O48" s="798" t="s">
        <v>31</v>
      </c>
      <c r="Q48" s="798" t="s">
        <v>15</v>
      </c>
      <c r="R48" s="835" t="s">
        <v>1115</v>
      </c>
      <c r="S48" s="835" t="s">
        <v>1115</v>
      </c>
      <c r="T48" s="835" t="s">
        <v>172</v>
      </c>
      <c r="U48" s="5" t="s">
        <v>10</v>
      </c>
      <c r="V48" s="5" t="s">
        <v>10</v>
      </c>
      <c r="W48" s="5" t="s">
        <v>11</v>
      </c>
      <c r="X48" s="5" t="s">
        <v>11</v>
      </c>
      <c r="Y48" s="5" t="s">
        <v>10</v>
      </c>
      <c r="Z48" s="5" t="s">
        <v>10</v>
      </c>
      <c r="AA48" s="5" t="s">
        <v>11</v>
      </c>
      <c r="AB48" s="5" t="s">
        <v>11</v>
      </c>
      <c r="AC48" s="5" t="s">
        <v>11</v>
      </c>
      <c r="AD48" s="798" t="s">
        <v>31</v>
      </c>
    </row>
    <row r="49" spans="2:30">
      <c r="B49" s="798">
        <v>1</v>
      </c>
      <c r="C49" s="3"/>
      <c r="D49" s="836">
        <f>P32</f>
        <v>0</v>
      </c>
      <c r="E49" s="837">
        <f>温度条件他根拠!E21</f>
        <v>0</v>
      </c>
      <c r="F49" s="838">
        <v>0</v>
      </c>
      <c r="G49" s="839">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798">
        <v>1</v>
      </c>
      <c r="R49" s="3"/>
      <c r="S49" s="836">
        <f>P14</f>
        <v>0</v>
      </c>
      <c r="T49" s="837">
        <f>温度条件他根拠!E21</f>
        <v>0</v>
      </c>
      <c r="U49" s="838">
        <f>F49</f>
        <v>0</v>
      </c>
      <c r="V49" s="1001">
        <f>G49</f>
        <v>0.79999999999999993</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798">
        <v>2</v>
      </c>
      <c r="C50" s="3"/>
      <c r="D50" s="3"/>
      <c r="E50" s="838">
        <f>E49</f>
        <v>0</v>
      </c>
      <c r="F50" s="838">
        <v>0</v>
      </c>
      <c r="G50" s="839">
        <f>0.8*(温度条件他根拠!$E$10-0)/(温度条件他根拠!$E$10-温度条件他根拠!$E$8)</f>
        <v>0.77294685990338163</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798">
        <v>2</v>
      </c>
      <c r="R50" s="3"/>
      <c r="S50" s="3"/>
      <c r="T50" s="838">
        <f>T49</f>
        <v>0</v>
      </c>
      <c r="U50" s="838">
        <f t="shared" ref="U50:V60" si="24">F50</f>
        <v>0</v>
      </c>
      <c r="V50" s="1001">
        <f t="shared" si="24"/>
        <v>0.77294685990338163</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798">
        <v>3</v>
      </c>
      <c r="C51" s="3"/>
      <c r="D51" s="3"/>
      <c r="E51" s="838">
        <f>E50</f>
        <v>0</v>
      </c>
      <c r="F51" s="838">
        <v>0</v>
      </c>
      <c r="G51" s="839">
        <f>0.8*(温度条件他根拠!$E$10-3.1)/(温度条件他根拠!$E$10-温度条件他根拠!$E$8)</f>
        <v>0.65314009661835748</v>
      </c>
      <c r="H51" s="7">
        <f t="shared" si="20"/>
        <v>0</v>
      </c>
      <c r="I51" s="7">
        <f t="shared" si="21"/>
        <v>0</v>
      </c>
      <c r="J51" s="2">
        <f>J50</f>
        <v>3.55</v>
      </c>
      <c r="K51" s="6">
        <f>K50</f>
        <v>3.95</v>
      </c>
      <c r="L51" s="7">
        <f t="shared" si="16"/>
        <v>0</v>
      </c>
      <c r="M51" s="7">
        <f t="shared" si="16"/>
        <v>0</v>
      </c>
      <c r="N51" s="13">
        <f t="shared" si="22"/>
        <v>0</v>
      </c>
      <c r="O51" s="12">
        <f t="shared" si="23"/>
        <v>0</v>
      </c>
      <c r="Q51" s="798">
        <v>3</v>
      </c>
      <c r="R51" s="3"/>
      <c r="S51" s="3"/>
      <c r="T51" s="838">
        <f t="shared" ref="T51:T60" si="27">T50</f>
        <v>0</v>
      </c>
      <c r="U51" s="838">
        <f t="shared" si="24"/>
        <v>0</v>
      </c>
      <c r="V51" s="1001">
        <f t="shared" si="24"/>
        <v>0.65314009661835748</v>
      </c>
      <c r="W51" s="7">
        <f t="shared" si="17"/>
        <v>0</v>
      </c>
      <c r="X51" s="7">
        <f t="shared" si="18"/>
        <v>0</v>
      </c>
      <c r="Y51" s="2">
        <f>Y50</f>
        <v>3.55</v>
      </c>
      <c r="Z51" s="6">
        <f>Z50</f>
        <v>3.95</v>
      </c>
      <c r="AA51" s="7">
        <f t="shared" si="19"/>
        <v>0</v>
      </c>
      <c r="AB51" s="7">
        <f t="shared" si="19"/>
        <v>0</v>
      </c>
      <c r="AC51" s="13">
        <f t="shared" si="25"/>
        <v>0</v>
      </c>
      <c r="AD51" s="12">
        <f t="shared" si="26"/>
        <v>0</v>
      </c>
    </row>
    <row r="52" spans="2:30">
      <c r="B52" s="798">
        <v>4</v>
      </c>
      <c r="C52" s="3"/>
      <c r="D52" s="3"/>
      <c r="E52" s="838">
        <f t="shared" ref="E52:E60" si="28">E51</f>
        <v>0</v>
      </c>
      <c r="F52" s="838">
        <v>0</v>
      </c>
      <c r="G52" s="839">
        <f>0.8*(温度条件他根拠!$E$10-8.4)/(温度条件他根拠!$E$10-温度条件他根拠!$E$8)</f>
        <v>0.44830917874396131</v>
      </c>
      <c r="H52" s="7">
        <f t="shared" si="20"/>
        <v>0</v>
      </c>
      <c r="I52" s="7">
        <f t="shared" si="21"/>
        <v>0</v>
      </c>
      <c r="J52" s="2">
        <f t="shared" ref="J52:K60" si="29">J51</f>
        <v>3.55</v>
      </c>
      <c r="K52" s="6">
        <f t="shared" si="29"/>
        <v>3.95</v>
      </c>
      <c r="L52" s="7">
        <f t="shared" si="16"/>
        <v>0</v>
      </c>
      <c r="M52" s="7">
        <f t="shared" si="16"/>
        <v>0</v>
      </c>
      <c r="N52" s="13">
        <f t="shared" si="22"/>
        <v>0</v>
      </c>
      <c r="O52" s="12">
        <f t="shared" si="23"/>
        <v>0</v>
      </c>
      <c r="Q52" s="798">
        <v>4</v>
      </c>
      <c r="R52" s="3"/>
      <c r="S52" s="3"/>
      <c r="T52" s="838">
        <f t="shared" si="27"/>
        <v>0</v>
      </c>
      <c r="U52" s="838">
        <f t="shared" si="24"/>
        <v>0</v>
      </c>
      <c r="V52" s="1001">
        <f t="shared" si="24"/>
        <v>0.44830917874396131</v>
      </c>
      <c r="W52" s="7">
        <f t="shared" si="17"/>
        <v>0</v>
      </c>
      <c r="X52" s="7">
        <f t="shared" si="18"/>
        <v>0</v>
      </c>
      <c r="Y52" s="2">
        <f t="shared" ref="Y52:Z60" si="30">Y51</f>
        <v>3.55</v>
      </c>
      <c r="Z52" s="6">
        <f t="shared" si="30"/>
        <v>3.95</v>
      </c>
      <c r="AA52" s="7">
        <f t="shared" si="19"/>
        <v>0</v>
      </c>
      <c r="AB52" s="7">
        <f t="shared" si="19"/>
        <v>0</v>
      </c>
      <c r="AC52" s="13">
        <f t="shared" si="25"/>
        <v>0</v>
      </c>
      <c r="AD52" s="12">
        <f t="shared" si="26"/>
        <v>0</v>
      </c>
    </row>
    <row r="53" spans="2:30">
      <c r="B53" s="798">
        <v>5</v>
      </c>
      <c r="C53" s="3"/>
      <c r="D53" s="3"/>
      <c r="E53" s="838">
        <f t="shared" si="28"/>
        <v>0</v>
      </c>
      <c r="F53" s="839">
        <f>0.175*(温度条件他根拠!$E$7-温度条件他根拠!$E$9)/(温度条件他根拠!$E$7-23.9)</f>
        <v>8.5312499999999958E-2</v>
      </c>
      <c r="G53" s="839">
        <f>0.2*(温度条件他根拠!$E$10-13.4)/(温度条件他根拠!$E$10-温度条件他根拠!$E$8)</f>
        <v>6.3768115942028997E-2</v>
      </c>
      <c r="H53" s="836">
        <f>$C$56*E53*F53/1000</f>
        <v>0</v>
      </c>
      <c r="I53" s="836">
        <f>G53*E53*$D$49/1000</f>
        <v>0</v>
      </c>
      <c r="J53" s="2">
        <f t="shared" si="29"/>
        <v>3.55</v>
      </c>
      <c r="K53" s="6">
        <f t="shared" si="29"/>
        <v>3.95</v>
      </c>
      <c r="L53" s="7">
        <f t="shared" si="16"/>
        <v>0</v>
      </c>
      <c r="M53" s="7">
        <f t="shared" si="16"/>
        <v>0</v>
      </c>
      <c r="N53" s="13">
        <f t="shared" si="22"/>
        <v>0</v>
      </c>
      <c r="O53" s="12">
        <f t="shared" si="23"/>
        <v>0</v>
      </c>
      <c r="Q53" s="798">
        <v>5</v>
      </c>
      <c r="R53" s="3"/>
      <c r="S53" s="3"/>
      <c r="T53" s="838">
        <f t="shared" si="27"/>
        <v>0</v>
      </c>
      <c r="U53" s="1001">
        <f t="shared" si="24"/>
        <v>8.5312499999999958E-2</v>
      </c>
      <c r="V53" s="1001">
        <f t="shared" si="24"/>
        <v>6.3768115942028997E-2</v>
      </c>
      <c r="W53" s="836">
        <f t="shared" si="17"/>
        <v>0</v>
      </c>
      <c r="X53" s="836">
        <f t="shared" si="18"/>
        <v>0</v>
      </c>
      <c r="Y53" s="2">
        <f t="shared" si="30"/>
        <v>3.55</v>
      </c>
      <c r="Z53" s="6">
        <f t="shared" si="30"/>
        <v>3.95</v>
      </c>
      <c r="AA53" s="7">
        <f t="shared" si="19"/>
        <v>0</v>
      </c>
      <c r="AB53" s="7">
        <f t="shared" si="19"/>
        <v>0</v>
      </c>
      <c r="AC53" s="13">
        <f t="shared" si="25"/>
        <v>0</v>
      </c>
      <c r="AD53" s="12">
        <f t="shared" si="26"/>
        <v>0</v>
      </c>
    </row>
    <row r="54" spans="2:30">
      <c r="B54" s="798">
        <v>6</v>
      </c>
      <c r="C54" s="3"/>
      <c r="D54" s="3"/>
      <c r="E54" s="838">
        <f t="shared" si="28"/>
        <v>0</v>
      </c>
      <c r="F54" s="839">
        <f>0.7*(温度条件他根拠!$E$7-温度条件他根拠!$E$9)/(温度条件他根拠!$E$7-26.4)</f>
        <v>0.49636363636363612</v>
      </c>
      <c r="G54" s="838">
        <v>0</v>
      </c>
      <c r="H54" s="7">
        <f t="shared" si="20"/>
        <v>0</v>
      </c>
      <c r="I54" s="7">
        <f t="shared" si="21"/>
        <v>0</v>
      </c>
      <c r="J54" s="2">
        <f t="shared" si="29"/>
        <v>3.55</v>
      </c>
      <c r="K54" s="6">
        <f t="shared" si="29"/>
        <v>3.95</v>
      </c>
      <c r="L54" s="7">
        <f t="shared" si="16"/>
        <v>0</v>
      </c>
      <c r="M54" s="7">
        <f t="shared" si="16"/>
        <v>0</v>
      </c>
      <c r="N54" s="13">
        <f t="shared" si="22"/>
        <v>0</v>
      </c>
      <c r="O54" s="12">
        <f t="shared" si="23"/>
        <v>0</v>
      </c>
      <c r="Q54" s="798">
        <v>6</v>
      </c>
      <c r="R54" s="3"/>
      <c r="S54" s="3"/>
      <c r="T54" s="838">
        <f t="shared" si="27"/>
        <v>0</v>
      </c>
      <c r="U54" s="1001">
        <f t="shared" si="24"/>
        <v>0.49636363636363612</v>
      </c>
      <c r="V54" s="1001">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798">
        <v>7</v>
      </c>
      <c r="C55" s="3"/>
      <c r="D55" s="3"/>
      <c r="E55" s="838">
        <f t="shared" si="28"/>
        <v>0</v>
      </c>
      <c r="F55" s="839">
        <f>0.7*(温度条件他根拠!$E$7-温度条件他根拠!$E$9)/(温度条件他根拠!$E$7-28)</f>
        <v>0.7</v>
      </c>
      <c r="G55" s="838">
        <v>0</v>
      </c>
      <c r="H55" s="7">
        <f t="shared" si="20"/>
        <v>0</v>
      </c>
      <c r="I55" s="7">
        <f t="shared" si="21"/>
        <v>0</v>
      </c>
      <c r="J55" s="2">
        <f t="shared" si="29"/>
        <v>3.55</v>
      </c>
      <c r="K55" s="6">
        <f t="shared" si="29"/>
        <v>3.95</v>
      </c>
      <c r="L55" s="7">
        <f t="shared" si="16"/>
        <v>0</v>
      </c>
      <c r="M55" s="7">
        <f t="shared" si="16"/>
        <v>0</v>
      </c>
      <c r="N55" s="13">
        <f t="shared" si="22"/>
        <v>0</v>
      </c>
      <c r="O55" s="12">
        <f t="shared" si="23"/>
        <v>0</v>
      </c>
      <c r="Q55" s="798">
        <v>7</v>
      </c>
      <c r="R55" s="3"/>
      <c r="S55" s="3"/>
      <c r="T55" s="838">
        <f t="shared" si="27"/>
        <v>0</v>
      </c>
      <c r="U55" s="1001">
        <f t="shared" si="24"/>
        <v>0.7</v>
      </c>
      <c r="V55" s="1001">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798">
        <v>8</v>
      </c>
      <c r="C56" s="836">
        <f>L32</f>
        <v>0</v>
      </c>
      <c r="D56" s="3"/>
      <c r="E56" s="838">
        <f t="shared" si="28"/>
        <v>0</v>
      </c>
      <c r="F56" s="839">
        <f>0.7*(温度条件他根拠!$E$7-温度条件他根拠!$E$9)/(温度条件他根拠!$E$7-28)</f>
        <v>0.7</v>
      </c>
      <c r="G56" s="838">
        <v>0</v>
      </c>
      <c r="H56" s="7">
        <f t="shared" si="20"/>
        <v>0</v>
      </c>
      <c r="I56" s="7">
        <f t="shared" si="21"/>
        <v>0</v>
      </c>
      <c r="J56" s="2">
        <f t="shared" si="29"/>
        <v>3.55</v>
      </c>
      <c r="K56" s="6">
        <f t="shared" si="29"/>
        <v>3.95</v>
      </c>
      <c r="L56" s="7">
        <f t="shared" si="16"/>
        <v>0</v>
      </c>
      <c r="M56" s="7">
        <f t="shared" si="16"/>
        <v>0</v>
      </c>
      <c r="N56" s="13">
        <f t="shared" si="22"/>
        <v>0</v>
      </c>
      <c r="O56" s="12">
        <f t="shared" si="23"/>
        <v>0</v>
      </c>
      <c r="Q56" s="798">
        <v>8</v>
      </c>
      <c r="R56" s="836">
        <f>L14</f>
        <v>0</v>
      </c>
      <c r="S56" s="3"/>
      <c r="T56" s="838">
        <f t="shared" si="27"/>
        <v>0</v>
      </c>
      <c r="U56" s="1001">
        <f t="shared" si="24"/>
        <v>0.7</v>
      </c>
      <c r="V56" s="1001">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798">
        <v>9</v>
      </c>
      <c r="C57" s="3"/>
      <c r="D57" s="3"/>
      <c r="E57" s="838">
        <f t="shared" si="28"/>
        <v>0</v>
      </c>
      <c r="F57" s="839">
        <f>0.7*(温度条件他根拠!$E$7-温度条件他根拠!$E$9)/(温度条件他根拠!$E$7-27.2)</f>
        <v>0.58085106382978702</v>
      </c>
      <c r="G57" s="838">
        <v>0</v>
      </c>
      <c r="H57" s="7">
        <f t="shared" si="20"/>
        <v>0</v>
      </c>
      <c r="I57" s="7">
        <f t="shared" si="21"/>
        <v>0</v>
      </c>
      <c r="J57" s="2">
        <f t="shared" si="29"/>
        <v>3.55</v>
      </c>
      <c r="K57" s="6">
        <f t="shared" si="29"/>
        <v>3.95</v>
      </c>
      <c r="L57" s="7">
        <f t="shared" si="16"/>
        <v>0</v>
      </c>
      <c r="M57" s="7">
        <f t="shared" si="16"/>
        <v>0</v>
      </c>
      <c r="N57" s="13">
        <f t="shared" si="22"/>
        <v>0</v>
      </c>
      <c r="O57" s="12">
        <f t="shared" si="23"/>
        <v>0</v>
      </c>
      <c r="Q57" s="798">
        <v>9</v>
      </c>
      <c r="R57" s="3"/>
      <c r="S57" s="3"/>
      <c r="T57" s="838">
        <f t="shared" si="27"/>
        <v>0</v>
      </c>
      <c r="U57" s="1001">
        <f t="shared" si="24"/>
        <v>0.58085106382978702</v>
      </c>
      <c r="V57" s="1001">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798">
        <v>10</v>
      </c>
      <c r="C58" s="3"/>
      <c r="D58" s="3"/>
      <c r="E58" s="838">
        <f t="shared" si="28"/>
        <v>0</v>
      </c>
      <c r="F58" s="839">
        <f>0.175*(温度条件他根拠!$E$7-温度条件他根拠!$E$9)/(温度条件他根拠!$E$7-21.7)</f>
        <v>6.6911764705882323E-2</v>
      </c>
      <c r="G58" s="839">
        <f>0.2*(温度条件他根拠!$E$10-13)/(温度条件他根拠!$E$10-温度条件他根拠!$E$8)</f>
        <v>6.7632850241545903E-2</v>
      </c>
      <c r="H58" s="836">
        <f>$C$56*E58*F58/1000</f>
        <v>0</v>
      </c>
      <c r="I58" s="836">
        <f>G58*E58*$D$49/1000</f>
        <v>0</v>
      </c>
      <c r="J58" s="2">
        <f t="shared" si="29"/>
        <v>3.55</v>
      </c>
      <c r="K58" s="6">
        <f t="shared" si="29"/>
        <v>3.95</v>
      </c>
      <c r="L58" s="7">
        <f t="shared" si="16"/>
        <v>0</v>
      </c>
      <c r="M58" s="7">
        <f t="shared" si="16"/>
        <v>0</v>
      </c>
      <c r="N58" s="13">
        <f t="shared" si="22"/>
        <v>0</v>
      </c>
      <c r="O58" s="12">
        <f t="shared" si="23"/>
        <v>0</v>
      </c>
      <c r="Q58" s="798">
        <v>10</v>
      </c>
      <c r="R58" s="3"/>
      <c r="S58" s="3"/>
      <c r="T58" s="838">
        <f t="shared" si="27"/>
        <v>0</v>
      </c>
      <c r="U58" s="1001">
        <f t="shared" si="24"/>
        <v>6.6911764705882323E-2</v>
      </c>
      <c r="V58" s="1001">
        <f t="shared" si="24"/>
        <v>6.7632850241545903E-2</v>
      </c>
      <c r="W58" s="836">
        <f>($R$56*T58*U58/1000)</f>
        <v>0</v>
      </c>
      <c r="X58" s="836">
        <f>(V58*T58*$S$49/1000)</f>
        <v>0</v>
      </c>
      <c r="Y58" s="2">
        <f t="shared" si="30"/>
        <v>3.55</v>
      </c>
      <c r="Z58" s="6">
        <f t="shared" si="30"/>
        <v>3.95</v>
      </c>
      <c r="AA58" s="7">
        <f t="shared" si="19"/>
        <v>0</v>
      </c>
      <c r="AB58" s="7">
        <f t="shared" si="19"/>
        <v>0</v>
      </c>
      <c r="AC58" s="13">
        <f t="shared" si="25"/>
        <v>0</v>
      </c>
      <c r="AD58" s="12">
        <f t="shared" si="26"/>
        <v>0</v>
      </c>
    </row>
    <row r="59" spans="2:30">
      <c r="B59" s="798">
        <v>11</v>
      </c>
      <c r="C59" s="3"/>
      <c r="D59" s="3"/>
      <c r="E59" s="838">
        <f t="shared" si="28"/>
        <v>0</v>
      </c>
      <c r="F59" s="838">
        <v>0</v>
      </c>
      <c r="G59" s="839">
        <f>0.8*(温度条件他根拠!$E$10-6.7)/(温度条件他根拠!$E$10-温度条件他根拠!$E$8)</f>
        <v>0.51400966183574881</v>
      </c>
      <c r="H59" s="7">
        <f t="shared" si="20"/>
        <v>0</v>
      </c>
      <c r="I59" s="7">
        <f t="shared" si="21"/>
        <v>0</v>
      </c>
      <c r="J59" s="2">
        <f t="shared" si="29"/>
        <v>3.55</v>
      </c>
      <c r="K59" s="6">
        <f t="shared" si="29"/>
        <v>3.95</v>
      </c>
      <c r="L59" s="7">
        <f t="shared" si="16"/>
        <v>0</v>
      </c>
      <c r="M59" s="7">
        <f t="shared" si="16"/>
        <v>0</v>
      </c>
      <c r="N59" s="13">
        <f t="shared" si="22"/>
        <v>0</v>
      </c>
      <c r="O59" s="12">
        <f t="shared" si="23"/>
        <v>0</v>
      </c>
      <c r="Q59" s="798">
        <v>11</v>
      </c>
      <c r="R59" s="3"/>
      <c r="S59" s="3"/>
      <c r="T59" s="838">
        <f t="shared" si="27"/>
        <v>0</v>
      </c>
      <c r="U59" s="838">
        <f t="shared" si="24"/>
        <v>0</v>
      </c>
      <c r="V59" s="1001">
        <f t="shared" si="24"/>
        <v>0.51400966183574881</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798">
        <v>12</v>
      </c>
      <c r="C60" s="3"/>
      <c r="D60" s="3"/>
      <c r="E60" s="838">
        <f t="shared" si="28"/>
        <v>0</v>
      </c>
      <c r="F60" s="838">
        <v>0</v>
      </c>
      <c r="G60" s="839">
        <f>0.8*(温度条件他根拠!$E$10-1.6)/(温度条件他根拠!$E$10-温度条件他根拠!$E$8)</f>
        <v>0.71111111111111103</v>
      </c>
      <c r="H60" s="7">
        <f t="shared" si="20"/>
        <v>0</v>
      </c>
      <c r="I60" s="7">
        <f t="shared" si="21"/>
        <v>0</v>
      </c>
      <c r="J60" s="2">
        <f t="shared" si="29"/>
        <v>3.55</v>
      </c>
      <c r="K60" s="6">
        <f t="shared" si="29"/>
        <v>3.95</v>
      </c>
      <c r="L60" s="7">
        <f t="shared" si="16"/>
        <v>0</v>
      </c>
      <c r="M60" s="7">
        <f t="shared" si="16"/>
        <v>0</v>
      </c>
      <c r="N60" s="13">
        <f t="shared" si="22"/>
        <v>0</v>
      </c>
      <c r="O60" s="12">
        <f t="shared" si="23"/>
        <v>0</v>
      </c>
      <c r="Q60" s="798">
        <v>12</v>
      </c>
      <c r="R60" s="3"/>
      <c r="S60" s="3"/>
      <c r="T60" s="838">
        <f t="shared" si="27"/>
        <v>0</v>
      </c>
      <c r="U60" s="838">
        <f t="shared" si="24"/>
        <v>0</v>
      </c>
      <c r="V60" s="1001">
        <f t="shared" si="24"/>
        <v>0.71111111111111103</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1079</v>
      </c>
    </row>
    <row r="86" spans="2:3">
      <c r="B86" s="691">
        <v>43927</v>
      </c>
      <c r="C86" s="690" t="s">
        <v>866</v>
      </c>
    </row>
    <row r="87" spans="2:3">
      <c r="B87" s="691">
        <v>44634</v>
      </c>
      <c r="C87" s="690" t="s">
        <v>1119</v>
      </c>
    </row>
    <row r="88" spans="2:3">
      <c r="C88" s="690" t="s">
        <v>1120</v>
      </c>
    </row>
    <row r="89" spans="2:3">
      <c r="C89" s="1" t="s">
        <v>1121</v>
      </c>
    </row>
    <row r="90" spans="2:3">
      <c r="C90" s="1" t="s">
        <v>1133</v>
      </c>
    </row>
    <row r="91" spans="2:3">
      <c r="C91" s="1" t="s">
        <v>1134</v>
      </c>
    </row>
  </sheetData>
  <mergeCells count="20">
    <mergeCell ref="P16:P23"/>
    <mergeCell ref="J16:J22"/>
    <mergeCell ref="B45:O45"/>
    <mergeCell ref="B15:B23"/>
    <mergeCell ref="B24:B33"/>
    <mergeCell ref="D33:F33"/>
    <mergeCell ref="K16:K23"/>
    <mergeCell ref="L16:L23"/>
    <mergeCell ref="N16:N22"/>
    <mergeCell ref="O16:O23"/>
    <mergeCell ref="B4:C5"/>
    <mergeCell ref="D4:F4"/>
    <mergeCell ref="G4:G5"/>
    <mergeCell ref="B6:B14"/>
    <mergeCell ref="J3:J5"/>
    <mergeCell ref="K3:K5"/>
    <mergeCell ref="L3:L5"/>
    <mergeCell ref="N3:N5"/>
    <mergeCell ref="O3:O5"/>
    <mergeCell ref="P3:P5"/>
  </mergeCells>
  <phoneticPr fontId="2"/>
  <pageMargins left="0" right="0" top="0.55118110236220474" bottom="0.15748031496062992" header="0.11811023622047245" footer="0"/>
  <pageSetup paperSize="9" orientation="landscape" r:id="rId1"/>
  <ignoredErrors>
    <ignoredError sqref="W58:X58" formula="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sheetPr>
  <dimension ref="A1:AL58"/>
  <sheetViews>
    <sheetView view="pageBreakPreview" zoomScaleNormal="100" zoomScaleSheetLayoutView="100" workbookViewId="0">
      <selection activeCell="E6" sqref="E6:AH6"/>
    </sheetView>
  </sheetViews>
  <sheetFormatPr defaultRowHeight="13"/>
  <cols>
    <col min="1" max="1" width="2.26953125" style="571" customWidth="1"/>
    <col min="2" max="34" width="2.6328125" style="571" customWidth="1"/>
    <col min="35" max="256" width="9" style="571"/>
    <col min="257" max="257" width="2.26953125" style="571" customWidth="1"/>
    <col min="258" max="290" width="2.6328125" style="571" customWidth="1"/>
    <col min="291" max="512" width="9" style="571"/>
    <col min="513" max="513" width="2.26953125" style="571" customWidth="1"/>
    <col min="514" max="546" width="2.6328125" style="571" customWidth="1"/>
    <col min="547" max="768" width="9" style="571"/>
    <col min="769" max="769" width="2.26953125" style="571" customWidth="1"/>
    <col min="770" max="802" width="2.6328125" style="571" customWidth="1"/>
    <col min="803" max="1024" width="9" style="571"/>
    <col min="1025" max="1025" width="2.26953125" style="571" customWidth="1"/>
    <col min="1026" max="1058" width="2.6328125" style="571" customWidth="1"/>
    <col min="1059" max="1280" width="9" style="571"/>
    <col min="1281" max="1281" width="2.26953125" style="571" customWidth="1"/>
    <col min="1282" max="1314" width="2.6328125" style="571" customWidth="1"/>
    <col min="1315" max="1536" width="9" style="571"/>
    <col min="1537" max="1537" width="2.26953125" style="571" customWidth="1"/>
    <col min="1538" max="1570" width="2.6328125" style="571" customWidth="1"/>
    <col min="1571" max="1792" width="9" style="571"/>
    <col min="1793" max="1793" width="2.26953125" style="571" customWidth="1"/>
    <col min="1794" max="1826" width="2.6328125" style="571" customWidth="1"/>
    <col min="1827" max="2048" width="9" style="571"/>
    <col min="2049" max="2049" width="2.26953125" style="571" customWidth="1"/>
    <col min="2050" max="2082" width="2.6328125" style="571" customWidth="1"/>
    <col min="2083" max="2304" width="9" style="571"/>
    <col min="2305" max="2305" width="2.26953125" style="571" customWidth="1"/>
    <col min="2306" max="2338" width="2.6328125" style="571" customWidth="1"/>
    <col min="2339" max="2560" width="9" style="571"/>
    <col min="2561" max="2561" width="2.26953125" style="571" customWidth="1"/>
    <col min="2562" max="2594" width="2.6328125" style="571" customWidth="1"/>
    <col min="2595" max="2816" width="9" style="571"/>
    <col min="2817" max="2817" width="2.26953125" style="571" customWidth="1"/>
    <col min="2818" max="2850" width="2.6328125" style="571" customWidth="1"/>
    <col min="2851" max="3072" width="9" style="571"/>
    <col min="3073" max="3073" width="2.26953125" style="571" customWidth="1"/>
    <col min="3074" max="3106" width="2.6328125" style="571" customWidth="1"/>
    <col min="3107" max="3328" width="9" style="571"/>
    <col min="3329" max="3329" width="2.26953125" style="571" customWidth="1"/>
    <col min="3330" max="3362" width="2.6328125" style="571" customWidth="1"/>
    <col min="3363" max="3584" width="9" style="571"/>
    <col min="3585" max="3585" width="2.26953125" style="571" customWidth="1"/>
    <col min="3586" max="3618" width="2.6328125" style="571" customWidth="1"/>
    <col min="3619" max="3840" width="9" style="571"/>
    <col min="3841" max="3841" width="2.26953125" style="571" customWidth="1"/>
    <col min="3842" max="3874" width="2.6328125" style="571" customWidth="1"/>
    <col min="3875" max="4096" width="9" style="571"/>
    <col min="4097" max="4097" width="2.26953125" style="571" customWidth="1"/>
    <col min="4098" max="4130" width="2.6328125" style="571" customWidth="1"/>
    <col min="4131" max="4352" width="9" style="571"/>
    <col min="4353" max="4353" width="2.26953125" style="571" customWidth="1"/>
    <col min="4354" max="4386" width="2.6328125" style="571" customWidth="1"/>
    <col min="4387" max="4608" width="9" style="571"/>
    <col min="4609" max="4609" width="2.26953125" style="571" customWidth="1"/>
    <col min="4610" max="4642" width="2.6328125" style="571" customWidth="1"/>
    <col min="4643" max="4864" width="9" style="571"/>
    <col min="4865" max="4865" width="2.26953125" style="571" customWidth="1"/>
    <col min="4866" max="4898" width="2.6328125" style="571" customWidth="1"/>
    <col min="4899" max="5120" width="9" style="571"/>
    <col min="5121" max="5121" width="2.26953125" style="571" customWidth="1"/>
    <col min="5122" max="5154" width="2.6328125" style="571" customWidth="1"/>
    <col min="5155" max="5376" width="9" style="571"/>
    <col min="5377" max="5377" width="2.26953125" style="571" customWidth="1"/>
    <col min="5378" max="5410" width="2.6328125" style="571" customWidth="1"/>
    <col min="5411" max="5632" width="9" style="571"/>
    <col min="5633" max="5633" width="2.26953125" style="571" customWidth="1"/>
    <col min="5634" max="5666" width="2.6328125" style="571" customWidth="1"/>
    <col min="5667" max="5888" width="9" style="571"/>
    <col min="5889" max="5889" width="2.26953125" style="571" customWidth="1"/>
    <col min="5890" max="5922" width="2.6328125" style="571" customWidth="1"/>
    <col min="5923" max="6144" width="9" style="571"/>
    <col min="6145" max="6145" width="2.26953125" style="571" customWidth="1"/>
    <col min="6146" max="6178" width="2.6328125" style="571" customWidth="1"/>
    <col min="6179" max="6400" width="9" style="571"/>
    <col min="6401" max="6401" width="2.26953125" style="571" customWidth="1"/>
    <col min="6402" max="6434" width="2.6328125" style="571" customWidth="1"/>
    <col min="6435" max="6656" width="9" style="571"/>
    <col min="6657" max="6657" width="2.26953125" style="571" customWidth="1"/>
    <col min="6658" max="6690" width="2.6328125" style="571" customWidth="1"/>
    <col min="6691" max="6912" width="9" style="571"/>
    <col min="6913" max="6913" width="2.26953125" style="571" customWidth="1"/>
    <col min="6914" max="6946" width="2.6328125" style="571" customWidth="1"/>
    <col min="6947" max="7168" width="9" style="571"/>
    <col min="7169" max="7169" width="2.26953125" style="571" customWidth="1"/>
    <col min="7170" max="7202" width="2.6328125" style="571" customWidth="1"/>
    <col min="7203" max="7424" width="9" style="571"/>
    <col min="7425" max="7425" width="2.26953125" style="571" customWidth="1"/>
    <col min="7426" max="7458" width="2.6328125" style="571" customWidth="1"/>
    <col min="7459" max="7680" width="9" style="571"/>
    <col min="7681" max="7681" width="2.26953125" style="571" customWidth="1"/>
    <col min="7682" max="7714" width="2.6328125" style="571" customWidth="1"/>
    <col min="7715" max="7936" width="9" style="571"/>
    <col min="7937" max="7937" width="2.26953125" style="571" customWidth="1"/>
    <col min="7938" max="7970" width="2.6328125" style="571" customWidth="1"/>
    <col min="7971" max="8192" width="9" style="571"/>
    <col min="8193" max="8193" width="2.26953125" style="571" customWidth="1"/>
    <col min="8194" max="8226" width="2.6328125" style="571" customWidth="1"/>
    <col min="8227" max="8448" width="9" style="571"/>
    <col min="8449" max="8449" width="2.26953125" style="571" customWidth="1"/>
    <col min="8450" max="8482" width="2.6328125" style="571" customWidth="1"/>
    <col min="8483" max="8704" width="9" style="571"/>
    <col min="8705" max="8705" width="2.26953125" style="571" customWidth="1"/>
    <col min="8706" max="8738" width="2.6328125" style="571" customWidth="1"/>
    <col min="8739" max="8960" width="9" style="571"/>
    <col min="8961" max="8961" width="2.26953125" style="571" customWidth="1"/>
    <col min="8962" max="8994" width="2.6328125" style="571" customWidth="1"/>
    <col min="8995" max="9216" width="9" style="571"/>
    <col min="9217" max="9217" width="2.26953125" style="571" customWidth="1"/>
    <col min="9218" max="9250" width="2.6328125" style="571" customWidth="1"/>
    <col min="9251" max="9472" width="9" style="571"/>
    <col min="9473" max="9473" width="2.26953125" style="571" customWidth="1"/>
    <col min="9474" max="9506" width="2.6328125" style="571" customWidth="1"/>
    <col min="9507" max="9728" width="9" style="571"/>
    <col min="9729" max="9729" width="2.26953125" style="571" customWidth="1"/>
    <col min="9730" max="9762" width="2.6328125" style="571" customWidth="1"/>
    <col min="9763" max="9984" width="9" style="571"/>
    <col min="9985" max="9985" width="2.26953125" style="571" customWidth="1"/>
    <col min="9986" max="10018" width="2.6328125" style="571" customWidth="1"/>
    <col min="10019" max="10240" width="9" style="571"/>
    <col min="10241" max="10241" width="2.26953125" style="571" customWidth="1"/>
    <col min="10242" max="10274" width="2.6328125" style="571" customWidth="1"/>
    <col min="10275" max="10496" width="9" style="571"/>
    <col min="10497" max="10497" width="2.26953125" style="571" customWidth="1"/>
    <col min="10498" max="10530" width="2.6328125" style="571" customWidth="1"/>
    <col min="10531" max="10752" width="9" style="571"/>
    <col min="10753" max="10753" width="2.26953125" style="571" customWidth="1"/>
    <col min="10754" max="10786" width="2.6328125" style="571" customWidth="1"/>
    <col min="10787" max="11008" width="9" style="571"/>
    <col min="11009" max="11009" width="2.26953125" style="571" customWidth="1"/>
    <col min="11010" max="11042" width="2.6328125" style="571" customWidth="1"/>
    <col min="11043" max="11264" width="9" style="571"/>
    <col min="11265" max="11265" width="2.26953125" style="571" customWidth="1"/>
    <col min="11266" max="11298" width="2.6328125" style="571" customWidth="1"/>
    <col min="11299" max="11520" width="9" style="571"/>
    <col min="11521" max="11521" width="2.26953125" style="571" customWidth="1"/>
    <col min="11522" max="11554" width="2.6328125" style="571" customWidth="1"/>
    <col min="11555" max="11776" width="9" style="571"/>
    <col min="11777" max="11777" width="2.26953125" style="571" customWidth="1"/>
    <col min="11778" max="11810" width="2.6328125" style="571" customWidth="1"/>
    <col min="11811" max="12032" width="9" style="571"/>
    <col min="12033" max="12033" width="2.26953125" style="571" customWidth="1"/>
    <col min="12034" max="12066" width="2.6328125" style="571" customWidth="1"/>
    <col min="12067" max="12288" width="9" style="571"/>
    <col min="12289" max="12289" width="2.26953125" style="571" customWidth="1"/>
    <col min="12290" max="12322" width="2.6328125" style="571" customWidth="1"/>
    <col min="12323" max="12544" width="9" style="571"/>
    <col min="12545" max="12545" width="2.26953125" style="571" customWidth="1"/>
    <col min="12546" max="12578" width="2.6328125" style="571" customWidth="1"/>
    <col min="12579" max="12800" width="9" style="571"/>
    <col min="12801" max="12801" width="2.26953125" style="571" customWidth="1"/>
    <col min="12802" max="12834" width="2.6328125" style="571" customWidth="1"/>
    <col min="12835" max="13056" width="9" style="571"/>
    <col min="13057" max="13057" width="2.26953125" style="571" customWidth="1"/>
    <col min="13058" max="13090" width="2.6328125" style="571" customWidth="1"/>
    <col min="13091" max="13312" width="9" style="571"/>
    <col min="13313" max="13313" width="2.26953125" style="571" customWidth="1"/>
    <col min="13314" max="13346" width="2.6328125" style="571" customWidth="1"/>
    <col min="13347" max="13568" width="9" style="571"/>
    <col min="13569" max="13569" width="2.26953125" style="571" customWidth="1"/>
    <col min="13570" max="13602" width="2.6328125" style="571" customWidth="1"/>
    <col min="13603" max="13824" width="9" style="571"/>
    <col min="13825" max="13825" width="2.26953125" style="571" customWidth="1"/>
    <col min="13826" max="13858" width="2.6328125" style="571" customWidth="1"/>
    <col min="13859" max="14080" width="9" style="571"/>
    <col min="14081" max="14081" width="2.26953125" style="571" customWidth="1"/>
    <col min="14082" max="14114" width="2.6328125" style="571" customWidth="1"/>
    <col min="14115" max="14336" width="9" style="571"/>
    <col min="14337" max="14337" width="2.26953125" style="571" customWidth="1"/>
    <col min="14338" max="14370" width="2.6328125" style="571" customWidth="1"/>
    <col min="14371" max="14592" width="9" style="571"/>
    <col min="14593" max="14593" width="2.26953125" style="571" customWidth="1"/>
    <col min="14594" max="14626" width="2.6328125" style="571" customWidth="1"/>
    <col min="14627" max="14848" width="9" style="571"/>
    <col min="14849" max="14849" width="2.26953125" style="571" customWidth="1"/>
    <col min="14850" max="14882" width="2.6328125" style="571" customWidth="1"/>
    <col min="14883" max="15104" width="9" style="571"/>
    <col min="15105" max="15105" width="2.26953125" style="571" customWidth="1"/>
    <col min="15106" max="15138" width="2.6328125" style="571" customWidth="1"/>
    <col min="15139" max="15360" width="9" style="571"/>
    <col min="15361" max="15361" width="2.26953125" style="571" customWidth="1"/>
    <col min="15362" max="15394" width="2.6328125" style="571" customWidth="1"/>
    <col min="15395" max="15616" width="9" style="571"/>
    <col min="15617" max="15617" width="2.26953125" style="571" customWidth="1"/>
    <col min="15618" max="15650" width="2.6328125" style="571" customWidth="1"/>
    <col min="15651" max="15872" width="9" style="571"/>
    <col min="15873" max="15873" width="2.26953125" style="571" customWidth="1"/>
    <col min="15874" max="15906" width="2.6328125" style="571" customWidth="1"/>
    <col min="15907" max="16128" width="9" style="571"/>
    <col min="16129" max="16129" width="2.26953125" style="571" customWidth="1"/>
    <col min="16130" max="16162" width="2.6328125" style="571" customWidth="1"/>
    <col min="16163" max="16384" width="9" style="571"/>
  </cols>
  <sheetData>
    <row r="1" spans="1:34" ht="25" customHeight="1" thickBot="1">
      <c r="A1" s="1259" t="s">
        <v>1012</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row>
    <row r="2" spans="1:34" ht="10" customHeight="1">
      <c r="A2" s="1260" t="s">
        <v>879</v>
      </c>
      <c r="B2" s="1261"/>
      <c r="C2" s="1261"/>
      <c r="D2" s="1262"/>
      <c r="E2" s="1266" t="s">
        <v>880</v>
      </c>
      <c r="F2" s="1237"/>
      <c r="G2" s="1237"/>
      <c r="H2" s="1239"/>
      <c r="I2" s="1240"/>
      <c r="J2" s="1237" t="s">
        <v>620</v>
      </c>
      <c r="K2" s="1237"/>
      <c r="L2" s="1239"/>
      <c r="M2" s="1240"/>
      <c r="N2" s="1237" t="s">
        <v>881</v>
      </c>
      <c r="O2" s="1237"/>
      <c r="P2" s="1237" t="s">
        <v>882</v>
      </c>
      <c r="Q2" s="1237"/>
      <c r="R2" s="1237" t="s">
        <v>880</v>
      </c>
      <c r="S2" s="1237"/>
      <c r="T2" s="1237"/>
      <c r="U2" s="1239"/>
      <c r="V2" s="1240"/>
      <c r="W2" s="1237" t="s">
        <v>620</v>
      </c>
      <c r="X2" s="1237"/>
      <c r="Y2" s="1239"/>
      <c r="Z2" s="1240"/>
      <c r="AA2" s="1237" t="s">
        <v>881</v>
      </c>
      <c r="AB2" s="1243"/>
      <c r="AC2" s="1245"/>
      <c r="AD2" s="1246"/>
      <c r="AE2" s="1246"/>
      <c r="AF2" s="1246"/>
      <c r="AG2" s="1246"/>
      <c r="AH2" s="1246"/>
    </row>
    <row r="3" spans="1:34" ht="10" customHeight="1" thickBot="1">
      <c r="A3" s="1263"/>
      <c r="B3" s="1264"/>
      <c r="C3" s="1264"/>
      <c r="D3" s="1265"/>
      <c r="E3" s="1245"/>
      <c r="F3" s="1267"/>
      <c r="G3" s="1267"/>
      <c r="H3" s="1268"/>
      <c r="I3" s="1269"/>
      <c r="J3" s="1267"/>
      <c r="K3" s="1267"/>
      <c r="L3" s="1268"/>
      <c r="M3" s="1269"/>
      <c r="N3" s="1267"/>
      <c r="O3" s="1267"/>
      <c r="P3" s="1267"/>
      <c r="Q3" s="1267"/>
      <c r="R3" s="1267"/>
      <c r="S3" s="1267"/>
      <c r="T3" s="1267"/>
      <c r="U3" s="1268"/>
      <c r="V3" s="1242"/>
      <c r="W3" s="1238"/>
      <c r="X3" s="1238"/>
      <c r="Y3" s="1241"/>
      <c r="Z3" s="1242"/>
      <c r="AA3" s="1238"/>
      <c r="AB3" s="1244"/>
      <c r="AC3" s="1245"/>
      <c r="AD3" s="1246"/>
      <c r="AE3" s="1246"/>
      <c r="AF3" s="1246"/>
      <c r="AG3" s="1246"/>
      <c r="AH3" s="1246"/>
    </row>
    <row r="4" spans="1:34" ht="10" customHeight="1">
      <c r="A4" s="1247" t="s">
        <v>1013</v>
      </c>
      <c r="B4" s="1247"/>
      <c r="C4" s="1247"/>
      <c r="D4" s="1248"/>
      <c r="E4" s="1249" t="s">
        <v>886</v>
      </c>
      <c r="F4" s="1250"/>
      <c r="G4" s="1250"/>
      <c r="H4" s="1250"/>
      <c r="I4" s="1250"/>
      <c r="J4" s="1250"/>
      <c r="K4" s="1250"/>
      <c r="L4" s="1250"/>
      <c r="M4" s="1250"/>
      <c r="N4" s="1250"/>
      <c r="O4" s="1250"/>
      <c r="P4" s="1250"/>
      <c r="Q4" s="1250"/>
      <c r="R4" s="1250"/>
      <c r="S4" s="1250"/>
      <c r="T4" s="1250"/>
      <c r="U4" s="1251"/>
      <c r="V4" s="1255"/>
      <c r="W4" s="1256"/>
      <c r="X4" s="1256"/>
      <c r="Y4" s="1256"/>
      <c r="Z4" s="1256"/>
      <c r="AA4" s="1256"/>
      <c r="AB4" s="1256"/>
      <c r="AC4" s="1256"/>
      <c r="AD4" s="1256"/>
      <c r="AE4" s="1256"/>
      <c r="AF4" s="1256"/>
      <c r="AG4" s="1256"/>
      <c r="AH4" s="1256"/>
    </row>
    <row r="5" spans="1:34" ht="10" customHeight="1" thickBot="1">
      <c r="A5" s="1247"/>
      <c r="B5" s="1247"/>
      <c r="C5" s="1247"/>
      <c r="D5" s="1248"/>
      <c r="E5" s="1252"/>
      <c r="F5" s="1253"/>
      <c r="G5" s="1253"/>
      <c r="H5" s="1253"/>
      <c r="I5" s="1253"/>
      <c r="J5" s="1253"/>
      <c r="K5" s="1253"/>
      <c r="L5" s="1253"/>
      <c r="M5" s="1253"/>
      <c r="N5" s="1253"/>
      <c r="O5" s="1253"/>
      <c r="P5" s="1253"/>
      <c r="Q5" s="1253"/>
      <c r="R5" s="1253"/>
      <c r="S5" s="1253"/>
      <c r="T5" s="1253"/>
      <c r="U5" s="1254"/>
      <c r="V5" s="1257"/>
      <c r="W5" s="1258"/>
      <c r="X5" s="1258"/>
      <c r="Y5" s="1258"/>
      <c r="Z5" s="1258"/>
      <c r="AA5" s="1258"/>
      <c r="AB5" s="1258"/>
      <c r="AC5" s="1258"/>
      <c r="AD5" s="1258"/>
      <c r="AE5" s="1258"/>
      <c r="AF5" s="1258"/>
      <c r="AG5" s="1258"/>
      <c r="AH5" s="1258"/>
    </row>
    <row r="6" spans="1:34" ht="20.149999999999999" customHeight="1" thickBot="1">
      <c r="A6" s="1270" t="s">
        <v>1014</v>
      </c>
      <c r="B6" s="1271"/>
      <c r="C6" s="1271"/>
      <c r="D6" s="1272"/>
      <c r="E6" s="1279" t="s">
        <v>1015</v>
      </c>
      <c r="F6" s="1280"/>
      <c r="G6" s="1280"/>
      <c r="H6" s="1280"/>
      <c r="I6" s="1280"/>
      <c r="J6" s="1280"/>
      <c r="K6" s="1280"/>
      <c r="L6" s="1280"/>
      <c r="M6" s="1280"/>
      <c r="N6" s="1280"/>
      <c r="O6" s="1280"/>
      <c r="P6" s="1280"/>
      <c r="Q6" s="1280"/>
      <c r="R6" s="1280"/>
      <c r="S6" s="1280"/>
      <c r="T6" s="1280"/>
      <c r="U6" s="1280"/>
      <c r="V6" s="1280"/>
      <c r="W6" s="1280"/>
      <c r="X6" s="1280"/>
      <c r="Y6" s="1280"/>
      <c r="Z6" s="1280"/>
      <c r="AA6" s="1280"/>
      <c r="AB6" s="1280"/>
      <c r="AC6" s="1280"/>
      <c r="AD6" s="1280"/>
      <c r="AE6" s="1280"/>
      <c r="AF6" s="1280"/>
      <c r="AG6" s="1280"/>
      <c r="AH6" s="1281"/>
    </row>
    <row r="7" spans="1:34" ht="15" customHeight="1">
      <c r="A7" s="1273"/>
      <c r="B7" s="1274"/>
      <c r="C7" s="1274"/>
      <c r="D7" s="1275"/>
      <c r="E7" s="1282" t="s">
        <v>16</v>
      </c>
      <c r="F7" s="1283" t="s">
        <v>1060</v>
      </c>
      <c r="G7" s="1284"/>
      <c r="H7" s="1284"/>
      <c r="I7" s="1284"/>
      <c r="J7" s="1284"/>
      <c r="K7" s="1284"/>
      <c r="L7" s="1284"/>
      <c r="M7" s="1284"/>
      <c r="N7" s="1285"/>
      <c r="O7" s="1289" t="s">
        <v>17</v>
      </c>
      <c r="P7" s="1290" t="s">
        <v>1060</v>
      </c>
      <c r="Q7" s="1291"/>
      <c r="R7" s="1291"/>
      <c r="S7" s="1291"/>
      <c r="T7" s="1291"/>
      <c r="U7" s="1291"/>
      <c r="V7" s="1291"/>
      <c r="W7" s="1291"/>
      <c r="X7" s="1292"/>
      <c r="Y7" s="1289" t="s">
        <v>18</v>
      </c>
      <c r="Z7" s="1290" t="s">
        <v>1060</v>
      </c>
      <c r="AA7" s="1291"/>
      <c r="AB7" s="1291"/>
      <c r="AC7" s="1291"/>
      <c r="AD7" s="1291"/>
      <c r="AE7" s="1291"/>
      <c r="AF7" s="1291"/>
      <c r="AG7" s="1291"/>
      <c r="AH7" s="1292"/>
    </row>
    <row r="8" spans="1:34" ht="15" customHeight="1" thickBot="1">
      <c r="A8" s="1273"/>
      <c r="B8" s="1274"/>
      <c r="C8" s="1274"/>
      <c r="D8" s="1275"/>
      <c r="E8" s="1282"/>
      <c r="F8" s="1286"/>
      <c r="G8" s="1287"/>
      <c r="H8" s="1287"/>
      <c r="I8" s="1287"/>
      <c r="J8" s="1287"/>
      <c r="K8" s="1287"/>
      <c r="L8" s="1287"/>
      <c r="M8" s="1287"/>
      <c r="N8" s="1288"/>
      <c r="O8" s="1289"/>
      <c r="P8" s="1293"/>
      <c r="Q8" s="1294"/>
      <c r="R8" s="1294"/>
      <c r="S8" s="1294"/>
      <c r="T8" s="1294"/>
      <c r="U8" s="1294"/>
      <c r="V8" s="1294"/>
      <c r="W8" s="1294"/>
      <c r="X8" s="1295"/>
      <c r="Y8" s="1289"/>
      <c r="Z8" s="1293"/>
      <c r="AA8" s="1294"/>
      <c r="AB8" s="1294"/>
      <c r="AC8" s="1294"/>
      <c r="AD8" s="1294"/>
      <c r="AE8" s="1294"/>
      <c r="AF8" s="1294"/>
      <c r="AG8" s="1294"/>
      <c r="AH8" s="1295"/>
    </row>
    <row r="9" spans="1:34" ht="5.15" customHeight="1">
      <c r="A9" s="1273"/>
      <c r="B9" s="1274"/>
      <c r="C9" s="1274"/>
      <c r="D9" s="1275"/>
      <c r="E9" s="1296" t="s">
        <v>1016</v>
      </c>
      <c r="F9" s="1297"/>
      <c r="G9" s="1297"/>
      <c r="H9" s="1297"/>
      <c r="I9" s="1297"/>
      <c r="J9" s="1297"/>
      <c r="K9" s="1297"/>
      <c r="L9" s="1297"/>
      <c r="M9" s="1297"/>
      <c r="N9" s="1297"/>
      <c r="O9" s="1297"/>
      <c r="P9" s="1297"/>
      <c r="Q9" s="1297"/>
      <c r="R9" s="1297"/>
      <c r="S9" s="1297"/>
      <c r="T9" s="1297"/>
      <c r="U9" s="1297"/>
      <c r="V9" s="1297"/>
      <c r="W9" s="1297"/>
      <c r="X9" s="1297"/>
      <c r="Y9" s="1297"/>
      <c r="Z9" s="1297"/>
      <c r="AA9" s="1297"/>
      <c r="AB9" s="1297"/>
      <c r="AC9" s="1297"/>
      <c r="AD9" s="1297"/>
      <c r="AE9" s="1297"/>
      <c r="AF9" s="1297"/>
      <c r="AG9" s="1297"/>
      <c r="AH9" s="1298"/>
    </row>
    <row r="10" spans="1:34">
      <c r="A10" s="1273"/>
      <c r="B10" s="1274"/>
      <c r="C10" s="1274"/>
      <c r="D10" s="1275"/>
      <c r="E10" s="1299"/>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1"/>
    </row>
    <row r="11" spans="1:34" ht="20.149999999999999" customHeight="1">
      <c r="A11" s="1273"/>
      <c r="B11" s="1274"/>
      <c r="C11" s="1274"/>
      <c r="D11" s="1275"/>
      <c r="E11" s="1302"/>
      <c r="F11" s="1303"/>
      <c r="G11" s="1303"/>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4"/>
    </row>
    <row r="12" spans="1:34" ht="20.149999999999999" customHeight="1" thickBot="1">
      <c r="A12" s="1276"/>
      <c r="B12" s="1277"/>
      <c r="C12" s="1277"/>
      <c r="D12" s="1278"/>
      <c r="E12" s="1305"/>
      <c r="F12" s="1306"/>
      <c r="G12" s="1306"/>
      <c r="H12" s="1306"/>
      <c r="I12" s="1306"/>
      <c r="J12" s="1306"/>
      <c r="K12" s="1306"/>
      <c r="L12" s="1306"/>
      <c r="M12" s="1306"/>
      <c r="N12" s="1306"/>
      <c r="O12" s="1306"/>
      <c r="P12" s="1306"/>
      <c r="Q12" s="1306"/>
      <c r="R12" s="1306"/>
      <c r="S12" s="1306"/>
      <c r="T12" s="1306"/>
      <c r="U12" s="1306"/>
      <c r="V12" s="1306"/>
      <c r="W12" s="1306"/>
      <c r="X12" s="1306"/>
      <c r="Y12" s="1306"/>
      <c r="Z12" s="1306"/>
      <c r="AA12" s="1306"/>
      <c r="AB12" s="1306"/>
      <c r="AC12" s="1306"/>
      <c r="AD12" s="1306"/>
      <c r="AE12" s="1306"/>
      <c r="AF12" s="1306"/>
      <c r="AG12" s="1306"/>
      <c r="AH12" s="1307"/>
    </row>
    <row r="13" spans="1:34" ht="13" customHeight="1">
      <c r="A13" s="1323" t="s">
        <v>1017</v>
      </c>
      <c r="B13" s="1324"/>
      <c r="C13" s="1324"/>
      <c r="D13" s="1324"/>
      <c r="E13" s="1329" t="s">
        <v>886</v>
      </c>
      <c r="F13" s="1330"/>
      <c r="G13" s="1330"/>
      <c r="H13" s="1330"/>
      <c r="I13" s="1330"/>
      <c r="J13" s="1330"/>
      <c r="K13" s="1331"/>
      <c r="L13" s="1338" t="str">
        <f>IF(E13="改修等の実績あり","改修等の実績ありの場合は下欄に簡単な内容を記入して下さい","")</f>
        <v/>
      </c>
      <c r="M13" s="1339"/>
      <c r="N13" s="1339"/>
      <c r="O13" s="1339"/>
      <c r="P13" s="1339"/>
      <c r="Q13" s="1339"/>
      <c r="R13" s="1339"/>
      <c r="S13" s="1339"/>
      <c r="T13" s="1339"/>
      <c r="U13" s="1339"/>
      <c r="V13" s="1339"/>
      <c r="W13" s="1339"/>
      <c r="X13" s="1339"/>
      <c r="Y13" s="1339"/>
      <c r="Z13" s="1339"/>
      <c r="AA13" s="1339"/>
      <c r="AB13" s="1339"/>
      <c r="AC13" s="1339"/>
      <c r="AD13" s="1339"/>
      <c r="AE13" s="1339"/>
      <c r="AF13" s="1339"/>
      <c r="AG13" s="1339"/>
      <c r="AH13" s="1340"/>
    </row>
    <row r="14" spans="1:34" ht="13" customHeight="1">
      <c r="A14" s="1325"/>
      <c r="B14" s="1326"/>
      <c r="C14" s="1326"/>
      <c r="D14" s="1326"/>
      <c r="E14" s="1332"/>
      <c r="F14" s="1333"/>
      <c r="G14" s="1333"/>
      <c r="H14" s="1333"/>
      <c r="I14" s="1333"/>
      <c r="J14" s="1333"/>
      <c r="K14" s="1334"/>
      <c r="L14" s="1341"/>
      <c r="M14" s="1342"/>
      <c r="N14" s="1342"/>
      <c r="O14" s="1342"/>
      <c r="P14" s="1342"/>
      <c r="Q14" s="1342"/>
      <c r="R14" s="1342"/>
      <c r="S14" s="1342"/>
      <c r="T14" s="1342"/>
      <c r="U14" s="1342"/>
      <c r="V14" s="1342"/>
      <c r="W14" s="1342"/>
      <c r="X14" s="1342"/>
      <c r="Y14" s="1342"/>
      <c r="Z14" s="1342"/>
      <c r="AA14" s="1342"/>
      <c r="AB14" s="1342"/>
      <c r="AC14" s="1342"/>
      <c r="AD14" s="1342"/>
      <c r="AE14" s="1342"/>
      <c r="AF14" s="1342"/>
      <c r="AG14" s="1342"/>
      <c r="AH14" s="1343"/>
    </row>
    <row r="15" spans="1:34" ht="13" customHeight="1">
      <c r="A15" s="1325"/>
      <c r="B15" s="1326"/>
      <c r="C15" s="1326"/>
      <c r="D15" s="1326"/>
      <c r="E15" s="1332"/>
      <c r="F15" s="1333"/>
      <c r="G15" s="1333"/>
      <c r="H15" s="1333"/>
      <c r="I15" s="1333"/>
      <c r="J15" s="1333"/>
      <c r="K15" s="1334"/>
      <c r="L15" s="1344"/>
      <c r="M15" s="1345"/>
      <c r="N15" s="1345"/>
      <c r="O15" s="1345"/>
      <c r="P15" s="1345"/>
      <c r="Q15" s="1345"/>
      <c r="R15" s="1345"/>
      <c r="S15" s="1345"/>
      <c r="T15" s="1345"/>
      <c r="U15" s="1345"/>
      <c r="V15" s="1345"/>
      <c r="W15" s="1345"/>
      <c r="X15" s="1345"/>
      <c r="Y15" s="1345"/>
      <c r="Z15" s="1345"/>
      <c r="AA15" s="1345"/>
      <c r="AB15" s="1345"/>
      <c r="AC15" s="1345"/>
      <c r="AD15" s="1345"/>
      <c r="AE15" s="1345"/>
      <c r="AF15" s="1345"/>
      <c r="AG15" s="1345"/>
      <c r="AH15" s="1346"/>
    </row>
    <row r="16" spans="1:34" ht="13" customHeight="1" thickBot="1">
      <c r="A16" s="1327"/>
      <c r="B16" s="1328"/>
      <c r="C16" s="1328"/>
      <c r="D16" s="1328"/>
      <c r="E16" s="1335"/>
      <c r="F16" s="1336"/>
      <c r="G16" s="1336"/>
      <c r="H16" s="1336"/>
      <c r="I16" s="1336"/>
      <c r="J16" s="1336"/>
      <c r="K16" s="1337"/>
      <c r="L16" s="1347"/>
      <c r="M16" s="1348"/>
      <c r="N16" s="1348"/>
      <c r="O16" s="1348"/>
      <c r="P16" s="1348"/>
      <c r="Q16" s="1348"/>
      <c r="R16" s="1348"/>
      <c r="S16" s="1348"/>
      <c r="T16" s="1348"/>
      <c r="U16" s="1348"/>
      <c r="V16" s="1348"/>
      <c r="W16" s="1348"/>
      <c r="X16" s="1348"/>
      <c r="Y16" s="1348"/>
      <c r="Z16" s="1348"/>
      <c r="AA16" s="1348"/>
      <c r="AB16" s="1348"/>
      <c r="AC16" s="1348"/>
      <c r="AD16" s="1348"/>
      <c r="AE16" s="1348"/>
      <c r="AF16" s="1348"/>
      <c r="AG16" s="1348"/>
      <c r="AH16" s="1349"/>
    </row>
    <row r="17" spans="1:34" ht="20.149999999999999" customHeight="1">
      <c r="A17" s="1350" t="s">
        <v>1018</v>
      </c>
      <c r="B17" s="1351"/>
      <c r="C17" s="1351"/>
      <c r="D17" s="1351"/>
      <c r="E17" s="1356" t="s">
        <v>1019</v>
      </c>
      <c r="F17" s="1357"/>
      <c r="G17" s="1357"/>
      <c r="H17" s="1357"/>
      <c r="I17" s="1357"/>
      <c r="J17" s="1357"/>
      <c r="K17" s="1357"/>
      <c r="L17" s="1357"/>
      <c r="M17" s="1357"/>
      <c r="N17" s="1357"/>
      <c r="O17" s="1357"/>
      <c r="P17" s="1357"/>
      <c r="Q17" s="1357"/>
      <c r="R17" s="1357"/>
      <c r="S17" s="1357"/>
      <c r="T17" s="1357"/>
      <c r="U17" s="1357"/>
      <c r="V17" s="1357"/>
      <c r="W17" s="1357"/>
      <c r="X17" s="1357"/>
      <c r="Y17" s="1357"/>
      <c r="Z17" s="1357"/>
      <c r="AA17" s="1357"/>
      <c r="AB17" s="1357"/>
      <c r="AC17" s="1357"/>
      <c r="AD17" s="1357"/>
      <c r="AE17" s="1357"/>
      <c r="AF17" s="1357"/>
      <c r="AG17" s="1357"/>
      <c r="AH17" s="1358"/>
    </row>
    <row r="18" spans="1:34" ht="28" customHeight="1" thickBot="1">
      <c r="A18" s="1352"/>
      <c r="B18" s="1353"/>
      <c r="C18" s="1353"/>
      <c r="D18" s="1353"/>
      <c r="E18" s="1414"/>
      <c r="F18" s="1415"/>
      <c r="G18" s="1415"/>
      <c r="H18" s="1416" t="str">
        <f>IF(F7="選択して下さい","",F7)</f>
        <v/>
      </c>
      <c r="I18" s="1417"/>
      <c r="J18" s="1417"/>
      <c r="K18" s="1417"/>
      <c r="L18" s="1417"/>
      <c r="M18" s="1417"/>
      <c r="N18" s="1417"/>
      <c r="O18" s="1417"/>
      <c r="P18" s="1418"/>
      <c r="Q18" s="1416" t="str">
        <f>IF(P7="選択して下さい","",P7)</f>
        <v/>
      </c>
      <c r="R18" s="1417"/>
      <c r="S18" s="1417"/>
      <c r="T18" s="1417"/>
      <c r="U18" s="1417"/>
      <c r="V18" s="1417"/>
      <c r="W18" s="1417"/>
      <c r="X18" s="1417"/>
      <c r="Y18" s="1419"/>
      <c r="Z18" s="1420" t="str">
        <f>IF(Z7="選択して下さい","",Z7)</f>
        <v/>
      </c>
      <c r="AA18" s="1417"/>
      <c r="AB18" s="1417"/>
      <c r="AC18" s="1417"/>
      <c r="AD18" s="1417"/>
      <c r="AE18" s="1417"/>
      <c r="AF18" s="1417"/>
      <c r="AG18" s="1417"/>
      <c r="AH18" s="1419"/>
    </row>
    <row r="19" spans="1:34" ht="20.149999999999999" customHeight="1">
      <c r="A19" s="1352"/>
      <c r="B19" s="1353"/>
      <c r="C19" s="1353"/>
      <c r="D19" s="1353"/>
      <c r="E19" s="1308" t="s">
        <v>1020</v>
      </c>
      <c r="F19" s="1309"/>
      <c r="G19" s="1310"/>
      <c r="H19" s="1314"/>
      <c r="I19" s="1315"/>
      <c r="J19" s="1315"/>
      <c r="K19" s="1315"/>
      <c r="L19" s="1315"/>
      <c r="M19" s="1315"/>
      <c r="N19" s="1315"/>
      <c r="O19" s="1315"/>
      <c r="P19" s="1315"/>
      <c r="Q19" s="1422"/>
      <c r="R19" s="1315"/>
      <c r="S19" s="1315"/>
      <c r="T19" s="1315"/>
      <c r="U19" s="1315"/>
      <c r="V19" s="1315"/>
      <c r="W19" s="1315"/>
      <c r="X19" s="1315"/>
      <c r="Y19" s="1423"/>
      <c r="Z19" s="1315"/>
      <c r="AA19" s="1315"/>
      <c r="AB19" s="1315"/>
      <c r="AC19" s="1315"/>
      <c r="AD19" s="1315"/>
      <c r="AE19" s="1315"/>
      <c r="AF19" s="1315"/>
      <c r="AG19" s="1315"/>
      <c r="AH19" s="1316"/>
    </row>
    <row r="20" spans="1:34" ht="20.149999999999999" customHeight="1" thickBot="1">
      <c r="A20" s="1352"/>
      <c r="B20" s="1353"/>
      <c r="C20" s="1353"/>
      <c r="D20" s="1353"/>
      <c r="E20" s="1308"/>
      <c r="F20" s="1309"/>
      <c r="G20" s="1310"/>
      <c r="H20" s="1317"/>
      <c r="I20" s="1318"/>
      <c r="J20" s="1318"/>
      <c r="K20" s="1318"/>
      <c r="L20" s="1318"/>
      <c r="M20" s="1318"/>
      <c r="N20" s="1318"/>
      <c r="O20" s="1318"/>
      <c r="P20" s="1318"/>
      <c r="Q20" s="1424"/>
      <c r="R20" s="1318"/>
      <c r="S20" s="1318"/>
      <c r="T20" s="1318"/>
      <c r="U20" s="1318"/>
      <c r="V20" s="1318"/>
      <c r="W20" s="1318"/>
      <c r="X20" s="1318"/>
      <c r="Y20" s="1425"/>
      <c r="Z20" s="1318"/>
      <c r="AA20" s="1318"/>
      <c r="AB20" s="1318"/>
      <c r="AC20" s="1318"/>
      <c r="AD20" s="1318"/>
      <c r="AE20" s="1318"/>
      <c r="AF20" s="1318"/>
      <c r="AG20" s="1318"/>
      <c r="AH20" s="1319"/>
    </row>
    <row r="21" spans="1:34" ht="20.149999999999999" customHeight="1">
      <c r="A21" s="1352"/>
      <c r="B21" s="1353"/>
      <c r="C21" s="1353"/>
      <c r="D21" s="1353"/>
      <c r="E21" s="1308" t="s">
        <v>1021</v>
      </c>
      <c r="F21" s="1309"/>
      <c r="G21" s="1310"/>
      <c r="H21" s="1314"/>
      <c r="I21" s="1315"/>
      <c r="J21" s="1315"/>
      <c r="K21" s="1315"/>
      <c r="L21" s="1315"/>
      <c r="M21" s="1315"/>
      <c r="N21" s="1315"/>
      <c r="O21" s="1315"/>
      <c r="P21" s="1315"/>
      <c r="Q21" s="1422"/>
      <c r="R21" s="1315"/>
      <c r="S21" s="1315"/>
      <c r="T21" s="1315"/>
      <c r="U21" s="1315"/>
      <c r="V21" s="1315"/>
      <c r="W21" s="1315"/>
      <c r="X21" s="1315"/>
      <c r="Y21" s="1423"/>
      <c r="Z21" s="1315"/>
      <c r="AA21" s="1315"/>
      <c r="AB21" s="1315"/>
      <c r="AC21" s="1315"/>
      <c r="AD21" s="1315"/>
      <c r="AE21" s="1315"/>
      <c r="AF21" s="1315"/>
      <c r="AG21" s="1315"/>
      <c r="AH21" s="1316"/>
    </row>
    <row r="22" spans="1:34" ht="20.149999999999999" customHeight="1" thickBot="1">
      <c r="A22" s="1352"/>
      <c r="B22" s="1353"/>
      <c r="C22" s="1353"/>
      <c r="D22" s="1353"/>
      <c r="E22" s="1308"/>
      <c r="F22" s="1309"/>
      <c r="G22" s="1310"/>
      <c r="H22" s="1317"/>
      <c r="I22" s="1318"/>
      <c r="J22" s="1318"/>
      <c r="K22" s="1318"/>
      <c r="L22" s="1318"/>
      <c r="M22" s="1318"/>
      <c r="N22" s="1318"/>
      <c r="O22" s="1318"/>
      <c r="P22" s="1318"/>
      <c r="Q22" s="1424"/>
      <c r="R22" s="1318"/>
      <c r="S22" s="1318"/>
      <c r="T22" s="1318"/>
      <c r="U22" s="1318"/>
      <c r="V22" s="1318"/>
      <c r="W22" s="1318"/>
      <c r="X22" s="1318"/>
      <c r="Y22" s="1425"/>
      <c r="Z22" s="1318"/>
      <c r="AA22" s="1318"/>
      <c r="AB22" s="1318"/>
      <c r="AC22" s="1318"/>
      <c r="AD22" s="1318"/>
      <c r="AE22" s="1318"/>
      <c r="AF22" s="1318"/>
      <c r="AG22" s="1318"/>
      <c r="AH22" s="1319"/>
    </row>
    <row r="23" spans="1:34" ht="20.149999999999999" customHeight="1">
      <c r="A23" s="1352"/>
      <c r="B23" s="1353"/>
      <c r="C23" s="1353"/>
      <c r="D23" s="1353"/>
      <c r="E23" s="1308" t="s">
        <v>1022</v>
      </c>
      <c r="F23" s="1309"/>
      <c r="G23" s="1310"/>
      <c r="H23" s="1314"/>
      <c r="I23" s="1315"/>
      <c r="J23" s="1315"/>
      <c r="K23" s="1315"/>
      <c r="L23" s="1315"/>
      <c r="M23" s="1315"/>
      <c r="N23" s="1315"/>
      <c r="O23" s="1315"/>
      <c r="P23" s="1315"/>
      <c r="Q23" s="1422"/>
      <c r="R23" s="1315"/>
      <c r="S23" s="1315"/>
      <c r="T23" s="1315"/>
      <c r="U23" s="1315"/>
      <c r="V23" s="1315"/>
      <c r="W23" s="1315"/>
      <c r="X23" s="1315"/>
      <c r="Y23" s="1423"/>
      <c r="Z23" s="1315"/>
      <c r="AA23" s="1315"/>
      <c r="AB23" s="1315"/>
      <c r="AC23" s="1315"/>
      <c r="AD23" s="1315"/>
      <c r="AE23" s="1315"/>
      <c r="AF23" s="1315"/>
      <c r="AG23" s="1315"/>
      <c r="AH23" s="1316"/>
    </row>
    <row r="24" spans="1:34" ht="20.149999999999999" customHeight="1" thickBot="1">
      <c r="A24" s="1352"/>
      <c r="B24" s="1353"/>
      <c r="C24" s="1353"/>
      <c r="D24" s="1353"/>
      <c r="E24" s="1308"/>
      <c r="F24" s="1309"/>
      <c r="G24" s="1310"/>
      <c r="H24" s="1317"/>
      <c r="I24" s="1318"/>
      <c r="J24" s="1318"/>
      <c r="K24" s="1318"/>
      <c r="L24" s="1318"/>
      <c r="M24" s="1318"/>
      <c r="N24" s="1318"/>
      <c r="O24" s="1318"/>
      <c r="P24" s="1318"/>
      <c r="Q24" s="1424"/>
      <c r="R24" s="1318"/>
      <c r="S24" s="1318"/>
      <c r="T24" s="1318"/>
      <c r="U24" s="1318"/>
      <c r="V24" s="1318"/>
      <c r="W24" s="1318"/>
      <c r="X24" s="1318"/>
      <c r="Y24" s="1425"/>
      <c r="Z24" s="1318"/>
      <c r="AA24" s="1318"/>
      <c r="AB24" s="1318"/>
      <c r="AC24" s="1318"/>
      <c r="AD24" s="1318"/>
      <c r="AE24" s="1318"/>
      <c r="AF24" s="1318"/>
      <c r="AG24" s="1318"/>
      <c r="AH24" s="1319"/>
    </row>
    <row r="25" spans="1:34" ht="20.149999999999999" customHeight="1">
      <c r="A25" s="1352"/>
      <c r="B25" s="1353"/>
      <c r="C25" s="1353"/>
      <c r="D25" s="1353"/>
      <c r="E25" s="1308" t="s">
        <v>1041</v>
      </c>
      <c r="F25" s="1309"/>
      <c r="G25" s="1310"/>
      <c r="H25" s="1314"/>
      <c r="I25" s="1315"/>
      <c r="J25" s="1315"/>
      <c r="K25" s="1315"/>
      <c r="L25" s="1315"/>
      <c r="M25" s="1315"/>
      <c r="N25" s="1315"/>
      <c r="O25" s="1315"/>
      <c r="P25" s="1315"/>
      <c r="Q25" s="1422"/>
      <c r="R25" s="1315"/>
      <c r="S25" s="1315"/>
      <c r="T25" s="1315"/>
      <c r="U25" s="1315"/>
      <c r="V25" s="1315"/>
      <c r="W25" s="1315"/>
      <c r="X25" s="1315"/>
      <c r="Y25" s="1423"/>
      <c r="Z25" s="1315"/>
      <c r="AA25" s="1315"/>
      <c r="AB25" s="1315"/>
      <c r="AC25" s="1315"/>
      <c r="AD25" s="1315"/>
      <c r="AE25" s="1315"/>
      <c r="AF25" s="1315"/>
      <c r="AG25" s="1315"/>
      <c r="AH25" s="1316"/>
    </row>
    <row r="26" spans="1:34" ht="20.149999999999999" customHeight="1" thickBot="1">
      <c r="A26" s="1352"/>
      <c r="B26" s="1353"/>
      <c r="C26" s="1353"/>
      <c r="D26" s="1353"/>
      <c r="E26" s="1308"/>
      <c r="F26" s="1309"/>
      <c r="G26" s="1310"/>
      <c r="H26" s="1317"/>
      <c r="I26" s="1318"/>
      <c r="J26" s="1318"/>
      <c r="K26" s="1318"/>
      <c r="L26" s="1318"/>
      <c r="M26" s="1318"/>
      <c r="N26" s="1318"/>
      <c r="O26" s="1318"/>
      <c r="P26" s="1318"/>
      <c r="Q26" s="1424"/>
      <c r="R26" s="1318"/>
      <c r="S26" s="1318"/>
      <c r="T26" s="1318"/>
      <c r="U26" s="1318"/>
      <c r="V26" s="1318"/>
      <c r="W26" s="1318"/>
      <c r="X26" s="1318"/>
      <c r="Y26" s="1425"/>
      <c r="Z26" s="1318"/>
      <c r="AA26" s="1318"/>
      <c r="AB26" s="1318"/>
      <c r="AC26" s="1318"/>
      <c r="AD26" s="1318"/>
      <c r="AE26" s="1318"/>
      <c r="AF26" s="1318"/>
      <c r="AG26" s="1318"/>
      <c r="AH26" s="1319"/>
    </row>
    <row r="27" spans="1:34" ht="5.15" customHeight="1">
      <c r="A27" s="1352"/>
      <c r="B27" s="1353"/>
      <c r="C27" s="1353"/>
      <c r="D27" s="1353"/>
      <c r="E27" s="748"/>
      <c r="F27" s="572"/>
      <c r="G27" s="572"/>
      <c r="H27" s="572"/>
      <c r="I27" s="572"/>
      <c r="J27" s="572"/>
      <c r="K27" s="572"/>
      <c r="L27" s="572"/>
      <c r="M27" s="572"/>
      <c r="N27" s="572"/>
      <c r="O27" s="572"/>
      <c r="P27" s="572"/>
      <c r="Q27" s="572"/>
      <c r="R27" s="572"/>
      <c r="S27" s="572"/>
      <c r="T27" s="572"/>
      <c r="U27" s="572"/>
      <c r="V27" s="572"/>
      <c r="W27" s="572"/>
      <c r="X27" s="572"/>
      <c r="Y27" s="572"/>
      <c r="Z27" s="572"/>
      <c r="AA27" s="572"/>
      <c r="AB27" s="572"/>
      <c r="AC27" s="572"/>
      <c r="AD27" s="572"/>
      <c r="AE27" s="572"/>
      <c r="AF27" s="572"/>
      <c r="AG27" s="572"/>
      <c r="AH27" s="749"/>
    </row>
    <row r="28" spans="1:34" ht="20.149999999999999" customHeight="1" thickBot="1">
      <c r="A28" s="1352"/>
      <c r="B28" s="1353"/>
      <c r="C28" s="1353"/>
      <c r="D28" s="1353"/>
      <c r="E28" s="1311" t="s">
        <v>1023</v>
      </c>
      <c r="F28" s="1312"/>
      <c r="G28" s="1312"/>
      <c r="H28" s="1312"/>
      <c r="I28" s="1312"/>
      <c r="J28" s="1312"/>
      <c r="K28" s="1312"/>
      <c r="L28" s="1312"/>
      <c r="M28" s="1312"/>
      <c r="N28" s="1312"/>
      <c r="O28" s="1312"/>
      <c r="P28" s="1312"/>
      <c r="Q28" s="1312"/>
      <c r="R28" s="1312"/>
      <c r="S28" s="1312"/>
      <c r="T28" s="1312"/>
      <c r="U28" s="1312"/>
      <c r="V28" s="1312"/>
      <c r="W28" s="1312"/>
      <c r="X28" s="1312"/>
      <c r="Y28" s="1312"/>
      <c r="Z28" s="1312"/>
      <c r="AA28" s="1312"/>
      <c r="AB28" s="1312"/>
      <c r="AC28" s="1312"/>
      <c r="AD28" s="1312"/>
      <c r="AE28" s="1312"/>
      <c r="AF28" s="1312"/>
      <c r="AG28" s="1312"/>
      <c r="AH28" s="1313"/>
    </row>
    <row r="29" spans="1:34" ht="20.149999999999999" customHeight="1">
      <c r="A29" s="1352"/>
      <c r="B29" s="1353"/>
      <c r="C29" s="1353"/>
      <c r="D29" s="1353"/>
      <c r="E29" s="1314"/>
      <c r="F29" s="1315"/>
      <c r="G29" s="1315"/>
      <c r="H29" s="1315"/>
      <c r="I29" s="1315"/>
      <c r="J29" s="1315"/>
      <c r="K29" s="1315"/>
      <c r="L29" s="1315"/>
      <c r="M29" s="1315"/>
      <c r="N29" s="1315"/>
      <c r="O29" s="1315"/>
      <c r="P29" s="1315"/>
      <c r="Q29" s="1315"/>
      <c r="R29" s="1315"/>
      <c r="S29" s="1315"/>
      <c r="T29" s="1315"/>
      <c r="U29" s="1315"/>
      <c r="V29" s="1315"/>
      <c r="W29" s="1315"/>
      <c r="X29" s="1315"/>
      <c r="Y29" s="1315"/>
      <c r="Z29" s="1315"/>
      <c r="AA29" s="1315"/>
      <c r="AB29" s="1315"/>
      <c r="AC29" s="1315"/>
      <c r="AD29" s="1315"/>
      <c r="AE29" s="1315"/>
      <c r="AF29" s="1315"/>
      <c r="AG29" s="1315"/>
      <c r="AH29" s="1316"/>
    </row>
    <row r="30" spans="1:34" ht="20.25" customHeight="1" thickBot="1">
      <c r="A30" s="1352"/>
      <c r="B30" s="1353"/>
      <c r="C30" s="1353"/>
      <c r="D30" s="1353"/>
      <c r="E30" s="1317"/>
      <c r="F30" s="1318"/>
      <c r="G30" s="1318"/>
      <c r="H30" s="1318"/>
      <c r="I30" s="1318"/>
      <c r="J30" s="1318"/>
      <c r="K30" s="1318"/>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9"/>
    </row>
    <row r="31" spans="1:34" ht="5.15" customHeight="1">
      <c r="A31" s="1352"/>
      <c r="B31" s="1353"/>
      <c r="C31" s="1353"/>
      <c r="D31" s="1353"/>
      <c r="E31" s="572"/>
      <c r="F31" s="572"/>
      <c r="G31" s="572"/>
      <c r="H31" s="572"/>
      <c r="I31" s="572"/>
      <c r="J31" s="572"/>
      <c r="K31" s="572"/>
      <c r="L31" s="572"/>
      <c r="M31" s="572"/>
      <c r="N31" s="572"/>
      <c r="O31" s="572"/>
      <c r="P31" s="572"/>
      <c r="Q31" s="572"/>
      <c r="R31" s="572"/>
      <c r="S31" s="572"/>
      <c r="T31" s="572"/>
      <c r="U31" s="572"/>
      <c r="V31" s="572"/>
      <c r="W31" s="572"/>
      <c r="X31" s="572"/>
      <c r="Y31" s="572"/>
      <c r="Z31" s="572"/>
      <c r="AA31" s="572"/>
      <c r="AB31" s="572"/>
      <c r="AC31" s="572"/>
      <c r="AD31" s="572"/>
      <c r="AE31" s="572"/>
      <c r="AF31" s="572"/>
      <c r="AG31" s="572"/>
      <c r="AH31" s="572"/>
    </row>
    <row r="32" spans="1:34" ht="18" customHeight="1">
      <c r="A32" s="1352"/>
      <c r="B32" s="1353"/>
      <c r="C32" s="1353"/>
      <c r="D32" s="1353"/>
      <c r="E32" s="1320" t="s">
        <v>1024</v>
      </c>
      <c r="F32" s="1321"/>
      <c r="G32" s="1321"/>
      <c r="H32" s="1321"/>
      <c r="I32" s="1321"/>
      <c r="J32" s="1321"/>
      <c r="K32" s="1321"/>
      <c r="L32" s="1321"/>
      <c r="M32" s="1321"/>
      <c r="N32" s="1321"/>
      <c r="O32" s="1321"/>
      <c r="P32" s="1321"/>
      <c r="Q32" s="1321"/>
      <c r="R32" s="1321"/>
      <c r="S32" s="1321"/>
      <c r="T32" s="1321"/>
      <c r="U32" s="1321"/>
      <c r="V32" s="1321"/>
      <c r="W32" s="1321"/>
      <c r="X32" s="1321"/>
      <c r="Y32" s="1321"/>
      <c r="Z32" s="1321"/>
      <c r="AA32" s="1321"/>
      <c r="AB32" s="1321"/>
      <c r="AC32" s="1321"/>
      <c r="AD32" s="1321"/>
      <c r="AE32" s="1321"/>
      <c r="AF32" s="1321"/>
      <c r="AG32" s="1321"/>
      <c r="AH32" s="1322"/>
    </row>
    <row r="33" spans="1:35" ht="15" customHeight="1" thickBot="1">
      <c r="A33" s="1352"/>
      <c r="B33" s="1353"/>
      <c r="C33" s="1353"/>
      <c r="D33" s="1353"/>
      <c r="E33" s="1359" t="s">
        <v>626</v>
      </c>
      <c r="F33" s="1359"/>
      <c r="G33" s="1360" t="s">
        <v>625</v>
      </c>
      <c r="H33" s="1360"/>
      <c r="I33" s="1360"/>
      <c r="J33" s="1360"/>
      <c r="K33" s="1360"/>
      <c r="L33" s="1360"/>
      <c r="M33" s="1360"/>
      <c r="N33" s="1360"/>
      <c r="O33" s="1360"/>
      <c r="P33" s="1360"/>
      <c r="Q33" s="1359" t="s">
        <v>621</v>
      </c>
      <c r="R33" s="1359"/>
      <c r="S33" s="1359"/>
      <c r="T33" s="1359"/>
      <c r="U33" s="1359"/>
      <c r="V33" s="1359"/>
      <c r="W33" s="1359" t="s">
        <v>623</v>
      </c>
      <c r="X33" s="1359"/>
      <c r="Y33" s="1359"/>
      <c r="Z33" s="1359"/>
      <c r="AA33" s="1359"/>
      <c r="AB33" s="1359"/>
      <c r="AC33" s="1359"/>
      <c r="AD33" s="1359" t="s">
        <v>622</v>
      </c>
      <c r="AE33" s="1359"/>
      <c r="AF33" s="1359"/>
      <c r="AG33" s="1359"/>
      <c r="AH33" s="1359"/>
    </row>
    <row r="34" spans="1:35" ht="15" customHeight="1" thickBot="1">
      <c r="A34" s="1352"/>
      <c r="B34" s="1353"/>
      <c r="C34" s="1353"/>
      <c r="D34" s="1353"/>
      <c r="E34" s="1361" t="s">
        <v>1040</v>
      </c>
      <c r="F34" s="1362"/>
      <c r="G34" s="1363" t="s">
        <v>617</v>
      </c>
      <c r="H34" s="1364"/>
      <c r="I34" s="1364"/>
      <c r="J34" s="1364"/>
      <c r="K34" s="1364"/>
      <c r="L34" s="1364"/>
      <c r="M34" s="1364"/>
      <c r="N34" s="1364"/>
      <c r="O34" s="1364"/>
      <c r="P34" s="1365"/>
      <c r="Q34" s="1366"/>
      <c r="R34" s="1367"/>
      <c r="S34" s="1367"/>
      <c r="T34" s="1367"/>
      <c r="U34" s="1367"/>
      <c r="V34" s="1368"/>
      <c r="W34" s="1369" t="s">
        <v>886</v>
      </c>
      <c r="X34" s="1370"/>
      <c r="Y34" s="1370"/>
      <c r="Z34" s="1370"/>
      <c r="AA34" s="1370"/>
      <c r="AB34" s="1370"/>
      <c r="AC34" s="1371"/>
      <c r="AD34" s="1366"/>
      <c r="AE34" s="1367"/>
      <c r="AF34" s="1367"/>
      <c r="AG34" s="1367"/>
      <c r="AH34" s="1368"/>
    </row>
    <row r="35" spans="1:35" ht="15" customHeight="1" thickBot="1">
      <c r="A35" s="1352"/>
      <c r="B35" s="1353"/>
      <c r="C35" s="1353"/>
      <c r="D35" s="1353"/>
      <c r="E35" s="1361"/>
      <c r="F35" s="1362"/>
      <c r="G35" s="1363"/>
      <c r="H35" s="1364"/>
      <c r="I35" s="1364"/>
      <c r="J35" s="1364"/>
      <c r="K35" s="1364"/>
      <c r="L35" s="1364"/>
      <c r="M35" s="1364"/>
      <c r="N35" s="1364"/>
      <c r="O35" s="1364"/>
      <c r="P35" s="1365"/>
      <c r="Q35" s="1372"/>
      <c r="R35" s="1373"/>
      <c r="S35" s="1373"/>
      <c r="T35" s="1373"/>
      <c r="U35" s="1373"/>
      <c r="V35" s="1374"/>
      <c r="W35" s="1375" t="s">
        <v>886</v>
      </c>
      <c r="X35" s="1376"/>
      <c r="Y35" s="1376"/>
      <c r="Z35" s="1376"/>
      <c r="AA35" s="1376"/>
      <c r="AB35" s="1376"/>
      <c r="AC35" s="1377"/>
      <c r="AD35" s="1372"/>
      <c r="AE35" s="1373"/>
      <c r="AF35" s="1373"/>
      <c r="AG35" s="1373"/>
      <c r="AH35" s="1374"/>
    </row>
    <row r="36" spans="1:35" ht="15" customHeight="1" thickBot="1">
      <c r="A36" s="1352"/>
      <c r="B36" s="1353"/>
      <c r="C36" s="1353"/>
      <c r="D36" s="1353"/>
      <c r="E36" s="1361" t="s">
        <v>1040</v>
      </c>
      <c r="F36" s="1362"/>
      <c r="G36" s="1363" t="s">
        <v>618</v>
      </c>
      <c r="H36" s="1364"/>
      <c r="I36" s="1364"/>
      <c r="J36" s="1364"/>
      <c r="K36" s="1364"/>
      <c r="L36" s="1364"/>
      <c r="M36" s="1364"/>
      <c r="N36" s="1364"/>
      <c r="O36" s="1364"/>
      <c r="P36" s="1365"/>
      <c r="Q36" s="1366"/>
      <c r="R36" s="1367"/>
      <c r="S36" s="1367"/>
      <c r="T36" s="1367"/>
      <c r="U36" s="1367"/>
      <c r="V36" s="1368"/>
      <c r="W36" s="1369" t="s">
        <v>886</v>
      </c>
      <c r="X36" s="1370"/>
      <c r="Y36" s="1370"/>
      <c r="Z36" s="1370"/>
      <c r="AA36" s="1370"/>
      <c r="AB36" s="1370"/>
      <c r="AC36" s="1371"/>
      <c r="AD36" s="1366"/>
      <c r="AE36" s="1367"/>
      <c r="AF36" s="1367"/>
      <c r="AG36" s="1367"/>
      <c r="AH36" s="1368"/>
    </row>
    <row r="37" spans="1:35" ht="15" customHeight="1" thickBot="1">
      <c r="A37" s="1352"/>
      <c r="B37" s="1353"/>
      <c r="C37" s="1353"/>
      <c r="D37" s="1353"/>
      <c r="E37" s="1361"/>
      <c r="F37" s="1362"/>
      <c r="G37" s="1363"/>
      <c r="H37" s="1364"/>
      <c r="I37" s="1364"/>
      <c r="J37" s="1364"/>
      <c r="K37" s="1364"/>
      <c r="L37" s="1364"/>
      <c r="M37" s="1364"/>
      <c r="N37" s="1364"/>
      <c r="O37" s="1364"/>
      <c r="P37" s="1365"/>
      <c r="Q37" s="1378"/>
      <c r="R37" s="1379"/>
      <c r="S37" s="1379"/>
      <c r="T37" s="1379"/>
      <c r="U37" s="1379"/>
      <c r="V37" s="1380"/>
      <c r="W37" s="1375" t="s">
        <v>886</v>
      </c>
      <c r="X37" s="1376"/>
      <c r="Y37" s="1376"/>
      <c r="Z37" s="1376"/>
      <c r="AA37" s="1376"/>
      <c r="AB37" s="1376"/>
      <c r="AC37" s="1377"/>
      <c r="AD37" s="1372"/>
      <c r="AE37" s="1373"/>
      <c r="AF37" s="1373"/>
      <c r="AG37" s="1373"/>
      <c r="AH37" s="1374"/>
    </row>
    <row r="38" spans="1:35" ht="15" customHeight="1" thickBot="1">
      <c r="A38" s="1352"/>
      <c r="B38" s="1353"/>
      <c r="C38" s="1353"/>
      <c r="D38" s="1353"/>
      <c r="E38" s="1361" t="s">
        <v>1040</v>
      </c>
      <c r="F38" s="1362"/>
      <c r="G38" s="1363" t="s">
        <v>619</v>
      </c>
      <c r="H38" s="1364"/>
      <c r="I38" s="1364"/>
      <c r="J38" s="1364"/>
      <c r="K38" s="1364"/>
      <c r="L38" s="1364"/>
      <c r="M38" s="1364"/>
      <c r="N38" s="1364"/>
      <c r="O38" s="1364"/>
      <c r="P38" s="1365"/>
      <c r="Q38" s="1366"/>
      <c r="R38" s="1367"/>
      <c r="S38" s="1367"/>
      <c r="T38" s="1367"/>
      <c r="U38" s="1367"/>
      <c r="V38" s="1368"/>
      <c r="W38" s="1369" t="s">
        <v>886</v>
      </c>
      <c r="X38" s="1370"/>
      <c r="Y38" s="1370"/>
      <c r="Z38" s="1370"/>
      <c r="AA38" s="1370"/>
      <c r="AB38" s="1370"/>
      <c r="AC38" s="1371"/>
      <c r="AD38" s="1366"/>
      <c r="AE38" s="1367"/>
      <c r="AF38" s="1367"/>
      <c r="AG38" s="1367"/>
      <c r="AH38" s="1368"/>
    </row>
    <row r="39" spans="1:35" ht="15" customHeight="1" thickBot="1">
      <c r="A39" s="1352"/>
      <c r="B39" s="1353"/>
      <c r="C39" s="1353"/>
      <c r="D39" s="1353"/>
      <c r="E39" s="1361"/>
      <c r="F39" s="1362"/>
      <c r="G39" s="1363"/>
      <c r="H39" s="1364"/>
      <c r="I39" s="1364"/>
      <c r="J39" s="1364"/>
      <c r="K39" s="1364"/>
      <c r="L39" s="1364"/>
      <c r="M39" s="1364"/>
      <c r="N39" s="1364"/>
      <c r="O39" s="1364"/>
      <c r="P39" s="1365"/>
      <c r="Q39" s="1372"/>
      <c r="R39" s="1373"/>
      <c r="S39" s="1373"/>
      <c r="T39" s="1373"/>
      <c r="U39" s="1373"/>
      <c r="V39" s="1374"/>
      <c r="W39" s="1375" t="s">
        <v>886</v>
      </c>
      <c r="X39" s="1376"/>
      <c r="Y39" s="1376"/>
      <c r="Z39" s="1376"/>
      <c r="AA39" s="1376"/>
      <c r="AB39" s="1376"/>
      <c r="AC39" s="1377"/>
      <c r="AD39" s="1372"/>
      <c r="AE39" s="1373"/>
      <c r="AF39" s="1373"/>
      <c r="AG39" s="1373"/>
      <c r="AH39" s="1374"/>
    </row>
    <row r="40" spans="1:35" ht="15" customHeight="1" thickBot="1">
      <c r="A40" s="1352"/>
      <c r="B40" s="1353"/>
      <c r="C40" s="1353"/>
      <c r="D40" s="1353"/>
      <c r="E40" s="1361" t="s">
        <v>1040</v>
      </c>
      <c r="F40" s="1362"/>
      <c r="G40" s="1363" t="s">
        <v>877</v>
      </c>
      <c r="H40" s="1364"/>
      <c r="I40" s="1364"/>
      <c r="J40" s="1364"/>
      <c r="K40" s="1364"/>
      <c r="L40" s="1364"/>
      <c r="M40" s="1364"/>
      <c r="N40" s="1364"/>
      <c r="O40" s="1364"/>
      <c r="P40" s="1365"/>
      <c r="Q40" s="1366"/>
      <c r="R40" s="1367"/>
      <c r="S40" s="1367"/>
      <c r="T40" s="1367"/>
      <c r="U40" s="1367"/>
      <c r="V40" s="1368"/>
      <c r="W40" s="1369" t="s">
        <v>886</v>
      </c>
      <c r="X40" s="1370"/>
      <c r="Y40" s="1370"/>
      <c r="Z40" s="1370"/>
      <c r="AA40" s="1370"/>
      <c r="AB40" s="1370"/>
      <c r="AC40" s="1371"/>
      <c r="AD40" s="1366"/>
      <c r="AE40" s="1367"/>
      <c r="AF40" s="1367"/>
      <c r="AG40" s="1367"/>
      <c r="AH40" s="1368"/>
    </row>
    <row r="41" spans="1:35" ht="15" customHeight="1" thickBot="1">
      <c r="A41" s="1354"/>
      <c r="B41" s="1355"/>
      <c r="C41" s="1355"/>
      <c r="D41" s="1355"/>
      <c r="E41" s="1361"/>
      <c r="F41" s="1362"/>
      <c r="G41" s="1363"/>
      <c r="H41" s="1364"/>
      <c r="I41" s="1364"/>
      <c r="J41" s="1364"/>
      <c r="K41" s="1364"/>
      <c r="L41" s="1364"/>
      <c r="M41" s="1364"/>
      <c r="N41" s="1364"/>
      <c r="O41" s="1364"/>
      <c r="P41" s="1365"/>
      <c r="Q41" s="1372"/>
      <c r="R41" s="1373"/>
      <c r="S41" s="1373"/>
      <c r="T41" s="1373"/>
      <c r="U41" s="1373"/>
      <c r="V41" s="1374"/>
      <c r="W41" s="1375" t="s">
        <v>886</v>
      </c>
      <c r="X41" s="1376"/>
      <c r="Y41" s="1376"/>
      <c r="Z41" s="1376"/>
      <c r="AA41" s="1376"/>
      <c r="AB41" s="1376"/>
      <c r="AC41" s="1377"/>
      <c r="AD41" s="1372"/>
      <c r="AE41" s="1373"/>
      <c r="AF41" s="1373"/>
      <c r="AG41" s="1373"/>
      <c r="AH41" s="1374"/>
    </row>
    <row r="42" spans="1:35" ht="21" customHeight="1">
      <c r="A42" s="1270" t="s">
        <v>1025</v>
      </c>
      <c r="B42" s="1271"/>
      <c r="C42" s="1271"/>
      <c r="D42" s="1272"/>
      <c r="E42" s="1381" t="s">
        <v>1036</v>
      </c>
      <c r="F42" s="1382"/>
      <c r="G42" s="1383"/>
      <c r="H42" s="1383"/>
      <c r="I42" s="1383"/>
      <c r="J42" s="1383"/>
      <c r="K42" s="1383"/>
      <c r="L42" s="1383"/>
      <c r="M42" s="1383"/>
      <c r="N42" s="1383"/>
      <c r="O42" s="1383"/>
      <c r="P42" s="1383"/>
      <c r="Q42" s="1382"/>
      <c r="R42" s="1382"/>
      <c r="S42" s="1382"/>
      <c r="T42" s="1382"/>
      <c r="U42" s="1382"/>
      <c r="V42" s="1384"/>
      <c r="W42" s="1389" t="s">
        <v>61</v>
      </c>
      <c r="X42" s="1390"/>
      <c r="Y42" s="1390"/>
      <c r="Z42" s="1390"/>
      <c r="AA42" s="1391"/>
      <c r="AB42" s="1392"/>
      <c r="AC42" s="1392"/>
      <c r="AD42" s="1393"/>
      <c r="AE42" s="1393"/>
      <c r="AF42" s="1393"/>
      <c r="AG42" s="1383" t="s">
        <v>620</v>
      </c>
      <c r="AH42" s="1394"/>
    </row>
    <row r="43" spans="1:35" ht="21" customHeight="1">
      <c r="A43" s="1273"/>
      <c r="B43" s="1274"/>
      <c r="C43" s="1274"/>
      <c r="D43" s="1275"/>
      <c r="E43" s="1385"/>
      <c r="F43" s="1382"/>
      <c r="G43" s="1382"/>
      <c r="H43" s="1382"/>
      <c r="I43" s="1382"/>
      <c r="J43" s="1382"/>
      <c r="K43" s="1382"/>
      <c r="L43" s="1382"/>
      <c r="M43" s="1382"/>
      <c r="N43" s="1382"/>
      <c r="O43" s="1382"/>
      <c r="P43" s="1382"/>
      <c r="Q43" s="1382"/>
      <c r="R43" s="1382"/>
      <c r="S43" s="1382"/>
      <c r="T43" s="1382"/>
      <c r="U43" s="1382"/>
      <c r="V43" s="1384"/>
      <c r="W43" s="1395" t="s">
        <v>62</v>
      </c>
      <c r="X43" s="1396"/>
      <c r="Y43" s="1396"/>
      <c r="Z43" s="1396"/>
      <c r="AA43" s="1397"/>
      <c r="AB43" s="1398"/>
      <c r="AC43" s="1399"/>
      <c r="AD43" s="1399"/>
      <c r="AE43" s="1399"/>
      <c r="AF43" s="1400"/>
      <c r="AG43" s="1382"/>
      <c r="AH43" s="1384"/>
    </row>
    <row r="44" spans="1:35" ht="21" customHeight="1">
      <c r="A44" s="1276"/>
      <c r="B44" s="1277"/>
      <c r="C44" s="1277"/>
      <c r="D44" s="1278"/>
      <c r="E44" s="1386"/>
      <c r="F44" s="1387"/>
      <c r="G44" s="1387"/>
      <c r="H44" s="1387"/>
      <c r="I44" s="1387"/>
      <c r="J44" s="1387"/>
      <c r="K44" s="1387"/>
      <c r="L44" s="1387"/>
      <c r="M44" s="1387"/>
      <c r="N44" s="1387"/>
      <c r="O44" s="1387"/>
      <c r="P44" s="1387"/>
      <c r="Q44" s="1387"/>
      <c r="R44" s="1387"/>
      <c r="S44" s="1387"/>
      <c r="T44" s="1387"/>
      <c r="U44" s="1387"/>
      <c r="V44" s="1388"/>
      <c r="W44" s="1395" t="s">
        <v>825</v>
      </c>
      <c r="X44" s="1396"/>
      <c r="Y44" s="1396"/>
      <c r="Z44" s="1396"/>
      <c r="AA44" s="1397"/>
      <c r="AB44" s="1401"/>
      <c r="AC44" s="1402"/>
      <c r="AD44" s="1402"/>
      <c r="AE44" s="1402"/>
      <c r="AF44" s="1403"/>
      <c r="AG44" s="1382"/>
      <c r="AH44" s="1384"/>
    </row>
    <row r="45" spans="1:35" ht="20.149999999999999" customHeight="1">
      <c r="A45" s="750"/>
      <c r="B45" s="751"/>
      <c r="C45" s="751"/>
      <c r="D45" s="752"/>
      <c r="E45" s="1404" t="s">
        <v>559</v>
      </c>
      <c r="F45" s="1404"/>
      <c r="G45" s="1404"/>
      <c r="H45" s="1404"/>
      <c r="I45" s="1404"/>
      <c r="J45" s="1404"/>
      <c r="K45" s="1404"/>
      <c r="L45" s="1404"/>
      <c r="M45" s="1404"/>
      <c r="N45" s="1404"/>
      <c r="O45" s="1404" t="s">
        <v>560</v>
      </c>
      <c r="P45" s="1404"/>
      <c r="Q45" s="1404"/>
      <c r="R45" s="1404"/>
      <c r="S45" s="1404"/>
      <c r="T45" s="1404"/>
      <c r="U45" s="1404"/>
      <c r="V45" s="1404"/>
      <c r="W45" s="1404"/>
      <c r="X45" s="1404"/>
      <c r="Y45" s="1404" t="s">
        <v>561</v>
      </c>
      <c r="Z45" s="1404"/>
      <c r="AA45" s="1404"/>
      <c r="AB45" s="1404"/>
      <c r="AC45" s="1404"/>
      <c r="AD45" s="1404"/>
      <c r="AE45" s="1404"/>
      <c r="AF45" s="1404"/>
      <c r="AG45" s="1404"/>
      <c r="AH45" s="1404"/>
    </row>
    <row r="46" spans="1:35" ht="30" customHeight="1">
      <c r="A46" s="753"/>
      <c r="B46" s="754"/>
      <c r="C46" s="754"/>
      <c r="D46" s="755"/>
      <c r="E46" s="1405">
        <f>IFERROR(結果!L9,"")</f>
        <v>0</v>
      </c>
      <c r="F46" s="1405"/>
      <c r="G46" s="1405"/>
      <c r="H46" s="1405"/>
      <c r="I46" s="1405"/>
      <c r="J46" s="1406"/>
      <c r="K46" s="1407" t="s">
        <v>562</v>
      </c>
      <c r="L46" s="1404"/>
      <c r="M46" s="1404"/>
      <c r="N46" s="1404"/>
      <c r="O46" s="1405">
        <f>IFERROR(結果!L10,"")</f>
        <v>0</v>
      </c>
      <c r="P46" s="1405"/>
      <c r="Q46" s="1405"/>
      <c r="R46" s="1405"/>
      <c r="S46" s="1405"/>
      <c r="T46" s="1406"/>
      <c r="U46" s="1407" t="s">
        <v>562</v>
      </c>
      <c r="V46" s="1404"/>
      <c r="W46" s="1404"/>
      <c r="X46" s="1404"/>
      <c r="Y46" s="1405">
        <f>IFERROR(E46-O46,"")</f>
        <v>0</v>
      </c>
      <c r="Z46" s="1405"/>
      <c r="AA46" s="1405"/>
      <c r="AB46" s="1405"/>
      <c r="AC46" s="1405"/>
      <c r="AD46" s="1406"/>
      <c r="AE46" s="1407" t="s">
        <v>562</v>
      </c>
      <c r="AF46" s="1404"/>
      <c r="AG46" s="1404"/>
      <c r="AH46" s="1404"/>
      <c r="AI46" s="572"/>
    </row>
    <row r="47" spans="1:35" ht="10" customHeight="1">
      <c r="AI47" s="572"/>
    </row>
    <row r="48" spans="1:35" s="588" customFormat="1" ht="30" customHeight="1">
      <c r="A48" s="1413" t="s">
        <v>1038</v>
      </c>
      <c r="B48" s="1413"/>
      <c r="C48" s="1413"/>
      <c r="D48" s="1413"/>
      <c r="E48" s="1413"/>
      <c r="F48" s="1413"/>
      <c r="G48" s="1413"/>
      <c r="H48" s="1413"/>
      <c r="I48" s="1413"/>
      <c r="J48" s="1413"/>
      <c r="K48" s="1413"/>
      <c r="L48" s="1413"/>
      <c r="M48" s="1413"/>
      <c r="N48" s="572"/>
      <c r="O48" s="1408" t="s">
        <v>1037</v>
      </c>
      <c r="P48" s="1409"/>
      <c r="Q48" s="1409"/>
      <c r="R48" s="1409"/>
      <c r="S48" s="1409"/>
      <c r="T48" s="1409"/>
      <c r="U48" s="1409"/>
      <c r="V48" s="1409"/>
      <c r="W48" s="1409"/>
      <c r="X48" s="1410"/>
      <c r="Y48" s="1405">
        <f>IFERROR(Y57,"")</f>
        <v>0</v>
      </c>
      <c r="Z48" s="1405"/>
      <c r="AA48" s="1405"/>
      <c r="AB48" s="1405"/>
      <c r="AC48" s="1405"/>
      <c r="AD48" s="1406"/>
      <c r="AE48" s="1407" t="s">
        <v>832</v>
      </c>
      <c r="AF48" s="1404"/>
      <c r="AG48" s="1404"/>
      <c r="AH48" s="1404"/>
      <c r="AI48" s="587"/>
    </row>
    <row r="49" spans="1:38" s="588" customFormat="1">
      <c r="A49" s="572"/>
      <c r="B49" s="572"/>
      <c r="C49" s="572"/>
      <c r="D49" s="572"/>
      <c r="E49" s="572"/>
      <c r="F49" s="572"/>
      <c r="G49" s="572"/>
      <c r="H49" s="572"/>
      <c r="I49" s="572"/>
      <c r="J49" s="572"/>
      <c r="K49" s="572"/>
      <c r="L49" s="572"/>
      <c r="M49" s="572"/>
      <c r="N49" s="572"/>
      <c r="O49" s="760"/>
      <c r="P49" s="760"/>
      <c r="Q49" s="760"/>
      <c r="R49" s="760"/>
      <c r="S49" s="760"/>
      <c r="T49" s="760"/>
      <c r="U49" s="760"/>
      <c r="V49" s="760"/>
      <c r="W49" s="760"/>
      <c r="X49" s="760"/>
      <c r="Y49" s="756"/>
      <c r="Z49" s="756"/>
      <c r="AA49" s="756"/>
      <c r="AB49" s="756"/>
      <c r="AC49" s="756"/>
      <c r="AD49" s="756"/>
      <c r="AE49" s="762"/>
      <c r="AF49" s="762"/>
      <c r="AG49" s="762"/>
      <c r="AH49" s="762"/>
      <c r="AI49" s="587"/>
    </row>
    <row r="50" spans="1:38" ht="30" hidden="1" customHeight="1">
      <c r="A50" s="572"/>
      <c r="B50" s="572"/>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72"/>
    </row>
    <row r="51" spans="1:38" s="572" customFormat="1" ht="15" hidden="1" customHeight="1">
      <c r="A51" s="587"/>
      <c r="B51" s="587"/>
      <c r="C51" s="587"/>
      <c r="D51" s="587"/>
      <c r="E51" s="587"/>
      <c r="F51" s="587"/>
      <c r="G51" s="587"/>
      <c r="H51" s="587"/>
      <c r="I51" s="587"/>
      <c r="J51" s="587"/>
      <c r="K51" s="587"/>
      <c r="L51" s="587"/>
      <c r="M51" s="587"/>
      <c r="N51" s="587"/>
      <c r="O51" s="587"/>
      <c r="P51" s="587"/>
      <c r="Q51" s="587"/>
      <c r="R51" s="587"/>
      <c r="S51" s="587"/>
      <c r="T51" s="587"/>
      <c r="U51" s="587"/>
      <c r="V51" s="587"/>
      <c r="W51" s="587"/>
      <c r="X51" s="587"/>
      <c r="Y51" s="587"/>
      <c r="Z51" s="587"/>
      <c r="AA51" s="587"/>
      <c r="AB51" s="587"/>
      <c r="AC51" s="587"/>
      <c r="AD51" s="587"/>
      <c r="AE51" s="587"/>
      <c r="AF51" s="587"/>
      <c r="AG51" s="587"/>
      <c r="AH51" s="587"/>
      <c r="AI51" s="572" t="s">
        <v>831</v>
      </c>
    </row>
    <row r="52" spans="1:38" s="572" customFormat="1" ht="21.75" hidden="1" customHeight="1">
      <c r="A52" s="1267"/>
      <c r="B52" s="1267"/>
      <c r="C52" s="1267"/>
      <c r="D52" s="1267"/>
      <c r="E52" s="1267"/>
      <c r="F52" s="1267"/>
      <c r="G52" s="1267"/>
      <c r="H52" s="1267"/>
      <c r="I52" s="1267"/>
      <c r="J52" s="1411"/>
      <c r="K52" s="1411"/>
      <c r="L52" s="1411"/>
      <c r="M52" s="1267"/>
      <c r="N52" s="1267"/>
      <c r="O52" s="1267"/>
      <c r="P52" s="1267"/>
      <c r="Q52" s="1267"/>
      <c r="R52" s="1412"/>
      <c r="S52" s="1412"/>
      <c r="T52" s="1412"/>
      <c r="U52" s="1412"/>
      <c r="V52" s="573"/>
      <c r="W52" s="1412"/>
      <c r="X52" s="1412"/>
      <c r="Y52" s="573"/>
      <c r="Z52" s="573"/>
      <c r="AA52" s="1412"/>
      <c r="AB52" s="1412"/>
      <c r="AC52" s="1412"/>
      <c r="AD52" s="1412"/>
      <c r="AE52" s="573"/>
      <c r="AF52" s="1412"/>
      <c r="AG52" s="1412"/>
      <c r="AH52" s="573"/>
      <c r="AI52" s="586">
        <f>Y54*AJ52</f>
        <v>0</v>
      </c>
      <c r="AJ52" s="572">
        <f>IF(AB42&gt;10,10,AB42)</f>
        <v>0</v>
      </c>
      <c r="AL52" s="757" t="s">
        <v>1026</v>
      </c>
    </row>
    <row r="53" spans="1:38" ht="21.75" hidden="1" customHeight="1">
      <c r="A53" s="574"/>
      <c r="B53" s="574"/>
      <c r="C53" s="574"/>
      <c r="D53" s="574"/>
      <c r="E53" s="1404" t="s">
        <v>559</v>
      </c>
      <c r="F53" s="1404"/>
      <c r="G53" s="1404"/>
      <c r="H53" s="1404"/>
      <c r="I53" s="1404"/>
      <c r="J53" s="1404"/>
      <c r="K53" s="1404"/>
      <c r="L53" s="1404"/>
      <c r="M53" s="1404"/>
      <c r="N53" s="1404"/>
      <c r="O53" s="1404" t="s">
        <v>560</v>
      </c>
      <c r="P53" s="1404"/>
      <c r="Q53" s="1404"/>
      <c r="R53" s="1404"/>
      <c r="S53" s="1404"/>
      <c r="T53" s="1404"/>
      <c r="U53" s="1404"/>
      <c r="V53" s="1404"/>
      <c r="W53" s="1404"/>
      <c r="X53" s="1404"/>
      <c r="Y53" s="1404" t="s">
        <v>561</v>
      </c>
      <c r="Z53" s="1404"/>
      <c r="AA53" s="1404"/>
      <c r="AB53" s="1404"/>
      <c r="AC53" s="1404"/>
      <c r="AD53" s="1404"/>
      <c r="AE53" s="1404"/>
      <c r="AF53" s="1404"/>
      <c r="AG53" s="1404"/>
      <c r="AH53" s="1404"/>
      <c r="AI53" s="586">
        <f>Y55*AJ53</f>
        <v>0</v>
      </c>
      <c r="AJ53" s="572">
        <f>IF(AB43&gt;10,10,AB43)</f>
        <v>0</v>
      </c>
      <c r="AL53" s="571" t="s">
        <v>52</v>
      </c>
    </row>
    <row r="54" spans="1:38" ht="21.75" hidden="1" customHeight="1">
      <c r="A54" s="574"/>
      <c r="B54" s="574"/>
      <c r="C54" s="574"/>
      <c r="D54" s="583" t="s">
        <v>61</v>
      </c>
      <c r="E54" s="1405">
        <f>結果!$W$118</f>
        <v>0</v>
      </c>
      <c r="F54" s="1405"/>
      <c r="G54" s="1405"/>
      <c r="H54" s="1405"/>
      <c r="I54" s="1405"/>
      <c r="J54" s="1406"/>
      <c r="K54" s="1407" t="s">
        <v>562</v>
      </c>
      <c r="L54" s="1404"/>
      <c r="M54" s="1404"/>
      <c r="N54" s="1404"/>
      <c r="O54" s="1405">
        <f>結果!$W$119</f>
        <v>0</v>
      </c>
      <c r="P54" s="1405"/>
      <c r="Q54" s="1405"/>
      <c r="R54" s="1405"/>
      <c r="S54" s="1405"/>
      <c r="T54" s="1406"/>
      <c r="U54" s="1407" t="s">
        <v>562</v>
      </c>
      <c r="V54" s="1404"/>
      <c r="W54" s="1404"/>
      <c r="X54" s="1404"/>
      <c r="Y54" s="1405">
        <f>E54-O54</f>
        <v>0</v>
      </c>
      <c r="Z54" s="1405"/>
      <c r="AA54" s="1405"/>
      <c r="AB54" s="1405"/>
      <c r="AC54" s="1405"/>
      <c r="AD54" s="1406"/>
      <c r="AE54" s="1407" t="s">
        <v>562</v>
      </c>
      <c r="AF54" s="1404"/>
      <c r="AG54" s="1404"/>
      <c r="AH54" s="1404"/>
      <c r="AI54" s="586">
        <f>Y56*AJ54</f>
        <v>0</v>
      </c>
      <c r="AJ54" s="572">
        <f>IF(AB44&gt;10,10,AB44)</f>
        <v>0</v>
      </c>
      <c r="AL54" s="571" t="s">
        <v>624</v>
      </c>
    </row>
    <row r="55" spans="1:38" ht="28.5" hidden="1" customHeight="1">
      <c r="A55" s="575"/>
      <c r="B55" s="575"/>
      <c r="C55" s="576"/>
      <c r="D55" s="584" t="s">
        <v>62</v>
      </c>
      <c r="E55" s="1405">
        <f>結果!$X$118</f>
        <v>0</v>
      </c>
      <c r="F55" s="1405"/>
      <c r="G55" s="1405"/>
      <c r="H55" s="1405"/>
      <c r="I55" s="1405"/>
      <c r="J55" s="1406"/>
      <c r="K55" s="1407" t="s">
        <v>562</v>
      </c>
      <c r="L55" s="1404"/>
      <c r="M55" s="1404"/>
      <c r="N55" s="1404"/>
      <c r="O55" s="1405">
        <f>結果!$X$119</f>
        <v>0</v>
      </c>
      <c r="P55" s="1405"/>
      <c r="Q55" s="1405"/>
      <c r="R55" s="1405"/>
      <c r="S55" s="1405"/>
      <c r="T55" s="1406"/>
      <c r="U55" s="1407" t="s">
        <v>562</v>
      </c>
      <c r="V55" s="1404"/>
      <c r="W55" s="1404"/>
      <c r="X55" s="1404"/>
      <c r="Y55" s="1405">
        <f>E55-O55</f>
        <v>0</v>
      </c>
      <c r="Z55" s="1405"/>
      <c r="AA55" s="1405"/>
      <c r="AB55" s="1405"/>
      <c r="AC55" s="1405"/>
      <c r="AD55" s="1406"/>
      <c r="AE55" s="1407" t="s">
        <v>562</v>
      </c>
      <c r="AF55" s="1404"/>
      <c r="AG55" s="1404"/>
      <c r="AH55" s="1404"/>
      <c r="AL55" s="571" t="s">
        <v>1029</v>
      </c>
    </row>
    <row r="56" spans="1:38" ht="15" hidden="1">
      <c r="D56" s="585" t="s">
        <v>825</v>
      </c>
      <c r="E56" s="1405">
        <f>結果!$Y$118+結果!$Z$118</f>
        <v>0</v>
      </c>
      <c r="F56" s="1405"/>
      <c r="G56" s="1405"/>
      <c r="H56" s="1405"/>
      <c r="I56" s="1405"/>
      <c r="J56" s="1406"/>
      <c r="K56" s="1407" t="s">
        <v>827</v>
      </c>
      <c r="L56" s="1404"/>
      <c r="M56" s="1404"/>
      <c r="N56" s="1404"/>
      <c r="O56" s="1405">
        <f>結果!$Y$119+結果!$Z$119</f>
        <v>0</v>
      </c>
      <c r="P56" s="1405"/>
      <c r="Q56" s="1405"/>
      <c r="R56" s="1405"/>
      <c r="S56" s="1405"/>
      <c r="T56" s="1406"/>
      <c r="U56" s="1407" t="s">
        <v>827</v>
      </c>
      <c r="V56" s="1404"/>
      <c r="W56" s="1404"/>
      <c r="X56" s="1404"/>
      <c r="Y56" s="1405">
        <f>E56-O56</f>
        <v>0</v>
      </c>
      <c r="Z56" s="1405"/>
      <c r="AA56" s="1405"/>
      <c r="AB56" s="1405"/>
      <c r="AC56" s="1405"/>
      <c r="AD56" s="1406"/>
      <c r="AE56" s="1407" t="s">
        <v>827</v>
      </c>
      <c r="AF56" s="1404"/>
      <c r="AG56" s="1404"/>
      <c r="AH56" s="1404"/>
      <c r="AL56" s="571" t="s">
        <v>1030</v>
      </c>
    </row>
    <row r="57" spans="1:38" ht="15" hidden="1">
      <c r="X57" s="585" t="s">
        <v>1</v>
      </c>
      <c r="Y57" s="1421">
        <f>_xlfn.AGGREGATE(9,,AI52:AI54)</f>
        <v>0</v>
      </c>
      <c r="Z57" s="1421"/>
      <c r="AA57" s="1421"/>
      <c r="AB57" s="1421"/>
      <c r="AC57" s="1421"/>
      <c r="AD57" s="1421"/>
      <c r="AE57" s="1407" t="s">
        <v>832</v>
      </c>
      <c r="AF57" s="1404"/>
      <c r="AG57" s="1404"/>
      <c r="AH57" s="1404"/>
    </row>
    <row r="58" spans="1:38" hidden="1"/>
  </sheetData>
  <sheetProtection algorithmName="SHA-512" hashValue="AtozfWS7k/pvfRhP+rGiQdhnDuf2I+kzthDb/MkjT+xpR6wKfcG2IJyKTLQ5uHicgI9x3NQtXtSPeqPB1dEZ1g==" saltValue="C+YiyZAeK0Y8kr3abPr4Jw==" spinCount="100000" sheet="1" objects="1"/>
  <mergeCells count="147">
    <mergeCell ref="E18:G18"/>
    <mergeCell ref="Z19:AH20"/>
    <mergeCell ref="Z21:AH22"/>
    <mergeCell ref="Z23:AH24"/>
    <mergeCell ref="Z25:AH26"/>
    <mergeCell ref="H18:P18"/>
    <mergeCell ref="Q18:Y18"/>
    <mergeCell ref="Z18:AH18"/>
    <mergeCell ref="Y57:AD57"/>
    <mergeCell ref="AE57:AH57"/>
    <mergeCell ref="H19:P20"/>
    <mergeCell ref="H21:P22"/>
    <mergeCell ref="H23:P24"/>
    <mergeCell ref="H25:P26"/>
    <mergeCell ref="Q19:Y20"/>
    <mergeCell ref="Q21:Y22"/>
    <mergeCell ref="Q23:Y24"/>
    <mergeCell ref="Q25:Y26"/>
    <mergeCell ref="E56:J56"/>
    <mergeCell ref="K56:N56"/>
    <mergeCell ref="O56:T56"/>
    <mergeCell ref="U56:X56"/>
    <mergeCell ref="Y56:AD56"/>
    <mergeCell ref="AE56:AH56"/>
    <mergeCell ref="AE54:AH54"/>
    <mergeCell ref="E55:J55"/>
    <mergeCell ref="K55:N55"/>
    <mergeCell ref="O55:T55"/>
    <mergeCell ref="U55:X55"/>
    <mergeCell ref="Y55:AD55"/>
    <mergeCell ref="AE55:AH55"/>
    <mergeCell ref="AC52:AD52"/>
    <mergeCell ref="AF52:AG52"/>
    <mergeCell ref="E53:N53"/>
    <mergeCell ref="O53:X53"/>
    <mergeCell ref="Y53:AH53"/>
    <mergeCell ref="E54:J54"/>
    <mergeCell ref="K54:N54"/>
    <mergeCell ref="O54:T54"/>
    <mergeCell ref="U54:X54"/>
    <mergeCell ref="Y54:AD54"/>
    <mergeCell ref="O48:X48"/>
    <mergeCell ref="Y48:AD48"/>
    <mergeCell ref="AE48:AH48"/>
    <mergeCell ref="A52:I52"/>
    <mergeCell ref="J52:L52"/>
    <mergeCell ref="M52:Q52"/>
    <mergeCell ref="R52:S52"/>
    <mergeCell ref="T52:U52"/>
    <mergeCell ref="W52:X52"/>
    <mergeCell ref="AA52:AB52"/>
    <mergeCell ref="A48:M48"/>
    <mergeCell ref="E45:N45"/>
    <mergeCell ref="O45:X45"/>
    <mergeCell ref="Y45:AH45"/>
    <mergeCell ref="E46:J46"/>
    <mergeCell ref="K46:N46"/>
    <mergeCell ref="O46:T46"/>
    <mergeCell ref="U46:X46"/>
    <mergeCell ref="Y46:AD46"/>
    <mergeCell ref="AE46:AH46"/>
    <mergeCell ref="A42:D44"/>
    <mergeCell ref="E42:V44"/>
    <mergeCell ref="W42:AA42"/>
    <mergeCell ref="AB42:AF42"/>
    <mergeCell ref="AG42:AH44"/>
    <mergeCell ref="W43:AA43"/>
    <mergeCell ref="AB43:AF43"/>
    <mergeCell ref="W44:AA44"/>
    <mergeCell ref="AB44:AF44"/>
    <mergeCell ref="E40:F41"/>
    <mergeCell ref="G40:P41"/>
    <mergeCell ref="Q40:V40"/>
    <mergeCell ref="W40:AC40"/>
    <mergeCell ref="AD40:AH40"/>
    <mergeCell ref="Q41:V41"/>
    <mergeCell ref="W41:AC41"/>
    <mergeCell ref="AD41:AH41"/>
    <mergeCell ref="AD37:AH37"/>
    <mergeCell ref="E38:F39"/>
    <mergeCell ref="G38:P39"/>
    <mergeCell ref="Q38:V38"/>
    <mergeCell ref="W38:AC38"/>
    <mergeCell ref="AD38:AH38"/>
    <mergeCell ref="Q39:V39"/>
    <mergeCell ref="W39:AC39"/>
    <mergeCell ref="AD39:AH39"/>
    <mergeCell ref="W35:AC35"/>
    <mergeCell ref="AD35:AH35"/>
    <mergeCell ref="E36:F37"/>
    <mergeCell ref="G36:P37"/>
    <mergeCell ref="Q36:V36"/>
    <mergeCell ref="W36:AC36"/>
    <mergeCell ref="AD36:AH36"/>
    <mergeCell ref="Q37:V37"/>
    <mergeCell ref="W37:AC37"/>
    <mergeCell ref="E25:G26"/>
    <mergeCell ref="E28:AH28"/>
    <mergeCell ref="E29:AH30"/>
    <mergeCell ref="E32:AH32"/>
    <mergeCell ref="E21:G22"/>
    <mergeCell ref="E23:G24"/>
    <mergeCell ref="A13:D16"/>
    <mergeCell ref="E13:K16"/>
    <mergeCell ref="L13:AH13"/>
    <mergeCell ref="L14:AH16"/>
    <mergeCell ref="A17:D41"/>
    <mergeCell ref="E17:AH17"/>
    <mergeCell ref="E19:G20"/>
    <mergeCell ref="E33:F33"/>
    <mergeCell ref="G33:P33"/>
    <mergeCell ref="Q33:V33"/>
    <mergeCell ref="W33:AC33"/>
    <mergeCell ref="AD33:AH33"/>
    <mergeCell ref="E34:F35"/>
    <mergeCell ref="G34:P35"/>
    <mergeCell ref="Q34:V34"/>
    <mergeCell ref="W34:AC34"/>
    <mergeCell ref="AD34:AH34"/>
    <mergeCell ref="Q35:V35"/>
    <mergeCell ref="A6:D12"/>
    <mergeCell ref="E6:AH6"/>
    <mergeCell ref="E7:E8"/>
    <mergeCell ref="F7:N8"/>
    <mergeCell ref="O7:O8"/>
    <mergeCell ref="P7:X8"/>
    <mergeCell ref="Y7:Y8"/>
    <mergeCell ref="Z7:AH8"/>
    <mergeCell ref="E9:AH10"/>
    <mergeCell ref="E11:AH12"/>
    <mergeCell ref="W2:X3"/>
    <mergeCell ref="Y2:Z3"/>
    <mergeCell ref="AA2:AB3"/>
    <mergeCell ref="AC2:AH3"/>
    <mergeCell ref="A4:D5"/>
    <mergeCell ref="E4:U5"/>
    <mergeCell ref="V4:AH5"/>
    <mergeCell ref="A1:AH1"/>
    <mergeCell ref="A2:D3"/>
    <mergeCell ref="E2:G3"/>
    <mergeCell ref="H2:I3"/>
    <mergeCell ref="J2:K3"/>
    <mergeCell ref="L2:M3"/>
    <mergeCell ref="N2:O3"/>
    <mergeCell ref="P2:Q3"/>
    <mergeCell ref="R2:T3"/>
    <mergeCell ref="U2:V3"/>
  </mergeCells>
  <phoneticPr fontId="2"/>
  <conditionalFormatting sqref="E34:F37 E40:F41">
    <cfRule type="containsBlanks" dxfId="30" priority="9">
      <formula>LEN(TRIM(E34))=0</formula>
    </cfRule>
  </conditionalFormatting>
  <conditionalFormatting sqref="AD34:AD35">
    <cfRule type="containsBlanks" dxfId="29" priority="8">
      <formula>LEN(TRIM(AD34))=0</formula>
    </cfRule>
  </conditionalFormatting>
  <conditionalFormatting sqref="E38:F39">
    <cfRule type="containsBlanks" dxfId="28" priority="7">
      <formula>LEN(TRIM(E38))=0</formula>
    </cfRule>
  </conditionalFormatting>
  <conditionalFormatting sqref="E4 F7 P7 Z7 E13 W34:W41">
    <cfRule type="cellIs" dxfId="27" priority="6" operator="equal">
      <formula>"選択して下さい"</formula>
    </cfRule>
  </conditionalFormatting>
  <conditionalFormatting sqref="H2:I3 L2 U2 Y2 E29 Q34:V41 H19 H21 H23 H25 Q19 Q21 Q23 Q25 Z25 Z23 Z21 Z19 AB42 AB43 AB44">
    <cfRule type="containsBlanks" dxfId="26" priority="5">
      <formula>LEN(TRIM(E2))=0</formula>
    </cfRule>
  </conditionalFormatting>
  <conditionalFormatting sqref="AD36:AD37">
    <cfRule type="containsBlanks" dxfId="25" priority="4">
      <formula>LEN(TRIM(AD36))=0</formula>
    </cfRule>
  </conditionalFormatting>
  <conditionalFormatting sqref="AD38:AD39">
    <cfRule type="containsBlanks" dxfId="24" priority="3">
      <formula>LEN(TRIM(AD38))=0</formula>
    </cfRule>
  </conditionalFormatting>
  <conditionalFormatting sqref="AD40:AD41">
    <cfRule type="containsBlanks" dxfId="23" priority="2">
      <formula>LEN(TRIM(AD40))=0</formula>
    </cfRule>
  </conditionalFormatting>
  <conditionalFormatting sqref="H21 H23 H25">
    <cfRule type="containsBlanks" dxfId="22" priority="1">
      <formula>LEN(TRIM(H21))=0</formula>
    </cfRule>
  </conditionalFormatting>
  <dataValidations count="5">
    <dataValidation type="list" allowBlank="1" showInputMessage="1" showErrorMessage="1" sqref="F7:N8 P7:X8 Z7:AH8" xr:uid="{00000000-0002-0000-0200-000000000000}">
      <formula1>"選択して下さい,遮熱塗装,既存窓に遮熱フィルム貼付け,Low-Eガラス窓へ交換,断熱材の取付け,遮熱シートの取付け,その他"</formula1>
    </dataValidation>
    <dataValidation type="list" allowBlank="1" showInputMessage="1" showErrorMessage="1" sqref="E13" xr:uid="{00000000-0002-0000-0200-000001000000}">
      <formula1>"選択して下さい,改修等の実績あり,竣工時から改修等の実績なし"</formula1>
    </dataValidation>
    <dataValidation type="list" allowBlank="1" showInputMessage="1" showErrorMessage="1" sqref="E4:U5" xr:uid="{00000000-0002-0000-0200-000002000000}">
      <formula1>"選択して下さい,屋根のみ,外壁のみ,窓のみ,屋根及び外壁,屋根及び窓,外壁及び窓,屋根、外壁及び窓"</formula1>
    </dataValidation>
    <dataValidation type="list" allowBlank="1" showInputMessage="1" showErrorMessage="1" sqref="W34:AC41" xr:uid="{00000000-0002-0000-0200-000003000000}">
      <formula1>$AL$52:$AL$56</formula1>
    </dataValidation>
    <dataValidation type="list" allowBlank="1" showInputMessage="1" showErrorMessage="1" sqref="E34:F41" xr:uid="{00000000-0002-0000-0200-000004000000}">
      <formula1>"○,　"</formula1>
    </dataValidation>
  </dataValidations>
  <pageMargins left="0.70866141732283472" right="0.70866141732283472" top="0.74803149606299213" bottom="0.74803149606299213" header="0.31496062992125984" footer="0.31496062992125984"/>
  <pageSetup paperSize="9" scale="96" orientation="portrait" r:id="rId1"/>
  <headerFooter>
    <oddHeader>&amp;L様式第２－６号（第８条関係）</oddHead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92D050"/>
  </sheetPr>
  <dimension ref="B1:AD93"/>
  <sheetViews>
    <sheetView workbookViewId="0">
      <selection activeCell="H9" sqref="H9"/>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705" t="str">
        <f ca="1">RIGHT(CELL("filename",C1),LEN(CELL("filename",C1))-FIND("]",CELL("filename",C1)))</f>
        <v>熊谷市窓遮熱</v>
      </c>
      <c r="D1" s="81"/>
      <c r="E1" s="81"/>
      <c r="F1" s="81"/>
      <c r="G1" s="81"/>
      <c r="H1" s="81"/>
      <c r="I1" s="81"/>
      <c r="J1" s="81"/>
      <c r="K1" s="81"/>
      <c r="L1" s="81"/>
      <c r="M1" s="81"/>
      <c r="N1" s="81"/>
      <c r="O1" s="81"/>
    </row>
    <row r="2" spans="2:16" ht="13.5" thickBot="1">
      <c r="B2" s="2080"/>
      <c r="C2" s="2080"/>
      <c r="D2" s="2080"/>
      <c r="E2" s="2080"/>
      <c r="F2" s="2080"/>
      <c r="G2" s="2080"/>
      <c r="H2" s="2080"/>
      <c r="I2" s="2080"/>
      <c r="J2" s="2080"/>
      <c r="K2" s="2080"/>
      <c r="L2" s="2080"/>
      <c r="M2" s="2080"/>
      <c r="N2" s="2080"/>
      <c r="O2" s="2080"/>
    </row>
    <row r="3" spans="2:16" ht="13.5" thickBot="1">
      <c r="B3" s="840" t="s">
        <v>1093</v>
      </c>
      <c r="C3" s="890"/>
      <c r="D3" s="841"/>
      <c r="E3" s="841"/>
      <c r="F3" s="841"/>
      <c r="G3" s="841"/>
      <c r="H3" s="1010"/>
      <c r="I3" s="1010"/>
      <c r="J3" s="2096" t="str">
        <f>J16</f>
        <v>D
時間帯合計値の最大値の方位別冷房負荷（計算採用値）</v>
      </c>
      <c r="K3" s="2099" t="str">
        <f>K16</f>
        <v>E
方位別日射時間
(h/日）</v>
      </c>
      <c r="L3" s="2102" t="str">
        <f>L16</f>
        <v>①
＝ΣD×E
方位別
日冷房
負荷
削減量
（W・h/日）</v>
      </c>
      <c r="M3" s="897"/>
      <c r="N3" s="2096" t="str">
        <f>N16</f>
        <v>F
時間帯合計値の最大値の方位別暖房負荷（計算採用値）</v>
      </c>
      <c r="O3" s="2099" t="str">
        <f>O16</f>
        <v>E
方位別日射時間
(h/日）</v>
      </c>
      <c r="P3" s="2102" t="str">
        <f>P16</f>
        <v>②
＝ΣF×E
方位別
日暖房
負荷
削減量
（W・h/日）</v>
      </c>
    </row>
    <row r="4" spans="2:16">
      <c r="B4" s="2088" t="s">
        <v>1094</v>
      </c>
      <c r="C4" s="2089"/>
      <c r="D4" s="2089" t="s">
        <v>1095</v>
      </c>
      <c r="E4" s="2089"/>
      <c r="F4" s="2089"/>
      <c r="G4" s="2092" t="s">
        <v>1122</v>
      </c>
      <c r="H4" s="894"/>
      <c r="I4" s="894"/>
      <c r="J4" s="2097"/>
      <c r="K4" s="2100"/>
      <c r="L4" s="2103"/>
      <c r="M4" s="896"/>
      <c r="N4" s="2097"/>
      <c r="O4" s="2100"/>
      <c r="P4" s="2103"/>
    </row>
    <row r="5" spans="2:16" ht="13.5" thickBot="1">
      <c r="B5" s="2090"/>
      <c r="C5" s="2091"/>
      <c r="D5" s="842" t="s">
        <v>1098</v>
      </c>
      <c r="E5" s="842" t="s">
        <v>1099</v>
      </c>
      <c r="F5" s="842" t="s">
        <v>1100</v>
      </c>
      <c r="G5" s="2093"/>
      <c r="H5" s="894"/>
      <c r="I5" s="894"/>
      <c r="J5" s="2098"/>
      <c r="K5" s="2101"/>
      <c r="L5" s="2104"/>
      <c r="M5" s="896"/>
      <c r="N5" s="2098"/>
      <c r="O5" s="2101"/>
      <c r="P5" s="2104"/>
    </row>
    <row r="6" spans="2:16">
      <c r="B6" s="2094" t="s">
        <v>1123</v>
      </c>
      <c r="C6" s="881" t="s">
        <v>1395</v>
      </c>
      <c r="D6" s="882">
        <f>結果!H54</f>
        <v>0</v>
      </c>
      <c r="E6" s="882">
        <f>結果!J54</f>
        <v>0</v>
      </c>
      <c r="F6" s="882">
        <f>結果!L54</f>
        <v>0</v>
      </c>
      <c r="G6" s="883">
        <f>結果!Q54</f>
        <v>0</v>
      </c>
      <c r="H6" s="894"/>
      <c r="I6" s="894"/>
      <c r="J6" s="857">
        <f>IF(D32&gt;=D33,D6,IF(E32&gt;=D33,E6,F6))</f>
        <v>0</v>
      </c>
      <c r="K6" s="858">
        <f>温度条件他根拠!C36</f>
        <v>0</v>
      </c>
      <c r="L6" s="859">
        <f>K6*J6</f>
        <v>0</v>
      </c>
      <c r="M6" s="896"/>
      <c r="N6" s="860">
        <v>0</v>
      </c>
      <c r="O6" s="858">
        <f>K6</f>
        <v>0</v>
      </c>
      <c r="P6" s="859">
        <f>O6*N6</f>
        <v>0</v>
      </c>
    </row>
    <row r="7" spans="2:16">
      <c r="B7" s="2077"/>
      <c r="C7" s="877" t="s">
        <v>1396</v>
      </c>
      <c r="D7" s="847">
        <f>結果!H55</f>
        <v>0</v>
      </c>
      <c r="E7" s="847">
        <f>結果!J55</f>
        <v>0</v>
      </c>
      <c r="F7" s="847">
        <f>結果!L55</f>
        <v>0</v>
      </c>
      <c r="G7" s="879">
        <f>結果!Q55</f>
        <v>0</v>
      </c>
      <c r="H7" s="894"/>
      <c r="I7" s="894"/>
      <c r="J7" s="862">
        <f>IF(D32&gt;=D33,D7,IF(E32&gt;=D33,E7,F7))</f>
        <v>0</v>
      </c>
      <c r="K7" s="863">
        <f>温度条件他根拠!D36</f>
        <v>2.5</v>
      </c>
      <c r="L7" s="864">
        <f t="shared" ref="L7:L13" si="0">K7*J7</f>
        <v>0</v>
      </c>
      <c r="M7" s="896"/>
      <c r="N7" s="865">
        <v>0</v>
      </c>
      <c r="O7" s="863">
        <f>K7</f>
        <v>2.5</v>
      </c>
      <c r="P7" s="864">
        <f t="shared" ref="P7:P13" si="1">O7*N7</f>
        <v>0</v>
      </c>
    </row>
    <row r="8" spans="2:16">
      <c r="B8" s="2077"/>
      <c r="C8" s="877" t="s">
        <v>1397</v>
      </c>
      <c r="D8" s="847">
        <f>結果!H56</f>
        <v>0</v>
      </c>
      <c r="E8" s="847">
        <f>結果!J56</f>
        <v>0</v>
      </c>
      <c r="F8" s="847">
        <f>結果!L56</f>
        <v>0</v>
      </c>
      <c r="G8" s="879">
        <f>結果!Q56</f>
        <v>0</v>
      </c>
      <c r="H8" s="894"/>
      <c r="I8" s="894"/>
      <c r="J8" s="862">
        <f>IF(D32&gt;=D33,D8,IF(E32&gt;=D33,E8,F8))</f>
        <v>0</v>
      </c>
      <c r="K8" s="863">
        <f>温度条件他根拠!E36</f>
        <v>3.5</v>
      </c>
      <c r="L8" s="864">
        <f t="shared" si="0"/>
        <v>0</v>
      </c>
      <c r="M8" s="896"/>
      <c r="N8" s="865">
        <v>0</v>
      </c>
      <c r="O8" s="863">
        <f t="shared" ref="O8:O13" si="2">K8</f>
        <v>3.5</v>
      </c>
      <c r="P8" s="864">
        <f t="shared" si="1"/>
        <v>0</v>
      </c>
    </row>
    <row r="9" spans="2:16">
      <c r="B9" s="2077"/>
      <c r="C9" s="877" t="s">
        <v>1398</v>
      </c>
      <c r="D9" s="847">
        <f>結果!H57</f>
        <v>0</v>
      </c>
      <c r="E9" s="847">
        <f>結果!J57</f>
        <v>0</v>
      </c>
      <c r="F9" s="847">
        <f>結果!L57</f>
        <v>0</v>
      </c>
      <c r="G9" s="879">
        <f>結果!Q57</f>
        <v>0</v>
      </c>
      <c r="H9" s="894"/>
      <c r="I9" s="894"/>
      <c r="J9" s="862">
        <f>IF(D32&gt;=D33,D9,IF(E32&gt;=D33,E9,F9))</f>
        <v>0</v>
      </c>
      <c r="K9" s="863">
        <f>温度条件他根拠!F36</f>
        <v>4.5</v>
      </c>
      <c r="L9" s="864">
        <f t="shared" si="0"/>
        <v>0</v>
      </c>
      <c r="M9" s="896"/>
      <c r="N9" s="865">
        <v>0</v>
      </c>
      <c r="O9" s="863">
        <f t="shared" si="2"/>
        <v>4.5</v>
      </c>
      <c r="P9" s="864">
        <f t="shared" si="1"/>
        <v>0</v>
      </c>
    </row>
    <row r="10" spans="2:16">
      <c r="B10" s="2077"/>
      <c r="C10" s="877" t="s">
        <v>1399</v>
      </c>
      <c r="D10" s="847">
        <f>結果!H58</f>
        <v>0</v>
      </c>
      <c r="E10" s="847">
        <f>結果!J58</f>
        <v>0</v>
      </c>
      <c r="F10" s="847">
        <f>結果!L58</f>
        <v>0</v>
      </c>
      <c r="G10" s="879">
        <f>結果!Q58</f>
        <v>0</v>
      </c>
      <c r="H10" s="894"/>
      <c r="I10" s="894"/>
      <c r="J10" s="862">
        <f>IF(D32&gt;=D33,D10,IF(E32&gt;=D33,E10,F10))</f>
        <v>0</v>
      </c>
      <c r="K10" s="866">
        <f>温度条件他根拠!G36</f>
        <v>5</v>
      </c>
      <c r="L10" s="864">
        <f t="shared" si="0"/>
        <v>0</v>
      </c>
      <c r="M10" s="896"/>
      <c r="N10" s="865">
        <v>0</v>
      </c>
      <c r="O10" s="866">
        <f t="shared" si="2"/>
        <v>5</v>
      </c>
      <c r="P10" s="864">
        <f t="shared" si="1"/>
        <v>0</v>
      </c>
    </row>
    <row r="11" spans="2:16">
      <c r="B11" s="2077"/>
      <c r="C11" s="877" t="s">
        <v>1400</v>
      </c>
      <c r="D11" s="847">
        <f>結果!H59</f>
        <v>0</v>
      </c>
      <c r="E11" s="847">
        <f>結果!J59</f>
        <v>0</v>
      </c>
      <c r="F11" s="847">
        <f>結果!L59</f>
        <v>0</v>
      </c>
      <c r="G11" s="879">
        <f>結果!Q59</f>
        <v>0</v>
      </c>
      <c r="H11" s="894"/>
      <c r="I11" s="894"/>
      <c r="J11" s="862">
        <f>IF(D32&gt;=D33,D11,IF(E32&gt;=D33,E11,F11))</f>
        <v>0</v>
      </c>
      <c r="K11" s="863">
        <f>温度条件他根拠!H36</f>
        <v>4.5</v>
      </c>
      <c r="L11" s="864">
        <f t="shared" si="0"/>
        <v>0</v>
      </c>
      <c r="M11" s="896"/>
      <c r="N11" s="865">
        <v>0</v>
      </c>
      <c r="O11" s="863">
        <f t="shared" si="2"/>
        <v>4.5</v>
      </c>
      <c r="P11" s="864">
        <f t="shared" si="1"/>
        <v>0</v>
      </c>
    </row>
    <row r="12" spans="2:16">
      <c r="B12" s="2077"/>
      <c r="C12" s="877" t="s">
        <v>1401</v>
      </c>
      <c r="D12" s="847">
        <f>結果!H60</f>
        <v>0</v>
      </c>
      <c r="E12" s="847">
        <f>結果!J60</f>
        <v>0</v>
      </c>
      <c r="F12" s="847">
        <f>結果!L60</f>
        <v>0</v>
      </c>
      <c r="G12" s="879">
        <f>結果!Q60</f>
        <v>0</v>
      </c>
      <c r="H12" s="894"/>
      <c r="I12" s="894"/>
      <c r="J12" s="862">
        <f>IF(D32&gt;=D33,D12,IF(E32&gt;=D33,E12,F12))</f>
        <v>0</v>
      </c>
      <c r="K12" s="863">
        <f>温度条件他根拠!I36</f>
        <v>3.5</v>
      </c>
      <c r="L12" s="864">
        <f t="shared" si="0"/>
        <v>0</v>
      </c>
      <c r="M12" s="896"/>
      <c r="N12" s="865">
        <v>0</v>
      </c>
      <c r="O12" s="863">
        <f t="shared" si="2"/>
        <v>3.5</v>
      </c>
      <c r="P12" s="864">
        <f t="shared" si="1"/>
        <v>0</v>
      </c>
    </row>
    <row r="13" spans="2:16" ht="13.5" thickBot="1">
      <c r="B13" s="2077"/>
      <c r="C13" s="878" t="s">
        <v>1402</v>
      </c>
      <c r="D13" s="847">
        <f>結果!H61</f>
        <v>0</v>
      </c>
      <c r="E13" s="847">
        <f>結果!J61</f>
        <v>0</v>
      </c>
      <c r="F13" s="847">
        <f>結果!L61</f>
        <v>0</v>
      </c>
      <c r="G13" s="879">
        <f>結果!Q61</f>
        <v>0</v>
      </c>
      <c r="H13" s="894"/>
      <c r="I13" s="894"/>
      <c r="J13" s="868">
        <f>IF(D32&gt;=D33,D13,IF(E32&gt;=D33,E13,F13))</f>
        <v>0</v>
      </c>
      <c r="K13" s="869">
        <f>温度条件他根拠!J36</f>
        <v>2.5</v>
      </c>
      <c r="L13" s="870">
        <f t="shared" si="0"/>
        <v>0</v>
      </c>
      <c r="M13" s="896"/>
      <c r="N13" s="865">
        <v>0</v>
      </c>
      <c r="O13" s="863">
        <f t="shared" si="2"/>
        <v>2.5</v>
      </c>
      <c r="P13" s="870">
        <f t="shared" si="1"/>
        <v>0</v>
      </c>
    </row>
    <row r="14" spans="2:16" ht="13.5" customHeight="1" thickBot="1">
      <c r="B14" s="2095"/>
      <c r="C14" s="884" t="s">
        <v>1124</v>
      </c>
      <c r="D14" s="885">
        <f>SUM(D6:D13)</f>
        <v>0</v>
      </c>
      <c r="E14" s="885">
        <f t="shared" ref="E14:G14" si="3">SUM(E6:E13)</f>
        <v>0</v>
      </c>
      <c r="F14" s="885">
        <f t="shared" si="3"/>
        <v>0</v>
      </c>
      <c r="G14" s="886">
        <f t="shared" si="3"/>
        <v>0</v>
      </c>
      <c r="H14" s="894"/>
      <c r="I14" s="894"/>
      <c r="J14" s="874">
        <f>SUM(J6:J13)</f>
        <v>0</v>
      </c>
      <c r="K14" s="875"/>
      <c r="L14" s="876">
        <f>SUM(L6:L13)</f>
        <v>0</v>
      </c>
      <c r="M14" s="896"/>
      <c r="N14" s="874">
        <f>SUM(N6:N13)</f>
        <v>0</v>
      </c>
      <c r="O14" s="875"/>
      <c r="P14" s="876">
        <f>SUM(P6:P13)</f>
        <v>0</v>
      </c>
    </row>
    <row r="15" spans="2:16" ht="13.5" thickBot="1">
      <c r="B15" s="2088" t="s">
        <v>1128</v>
      </c>
      <c r="C15" s="843" t="str">
        <f>C6</f>
        <v>北</v>
      </c>
      <c r="D15" s="844">
        <f>結果!H94</f>
        <v>0</v>
      </c>
      <c r="E15" s="844">
        <f>結果!J94</f>
        <v>0</v>
      </c>
      <c r="F15" s="844">
        <f>結果!L94</f>
        <v>0</v>
      </c>
      <c r="G15" s="845">
        <f>結果!Q94</f>
        <v>0</v>
      </c>
      <c r="H15" s="1010"/>
      <c r="I15" s="1010"/>
      <c r="J15" s="894"/>
      <c r="K15" s="894"/>
      <c r="L15" s="894"/>
      <c r="M15" s="896"/>
      <c r="N15" s="896"/>
      <c r="O15" s="896"/>
      <c r="P15" s="897"/>
    </row>
    <row r="16" spans="2:16" ht="13" customHeight="1">
      <c r="B16" s="2077"/>
      <c r="C16" s="846" t="str">
        <f t="shared" ref="C16:C32" si="4">C7</f>
        <v>北東</v>
      </c>
      <c r="D16" s="847">
        <f>結果!H95</f>
        <v>0</v>
      </c>
      <c r="E16" s="847">
        <f>結果!J95</f>
        <v>0</v>
      </c>
      <c r="F16" s="847">
        <f>結果!L95</f>
        <v>0</v>
      </c>
      <c r="G16" s="848">
        <f>結果!Q95</f>
        <v>0</v>
      </c>
      <c r="H16" s="1010"/>
      <c r="I16" s="1010"/>
      <c r="J16" s="2084" t="s">
        <v>1125</v>
      </c>
      <c r="K16" s="2084" t="s">
        <v>1389</v>
      </c>
      <c r="L16" s="2084" t="s">
        <v>1126</v>
      </c>
      <c r="M16" s="896"/>
      <c r="N16" s="2084" t="s">
        <v>1127</v>
      </c>
      <c r="O16" s="2084" t="s">
        <v>1389</v>
      </c>
      <c r="P16" s="2084" t="s">
        <v>1390</v>
      </c>
    </row>
    <row r="17" spans="2:16">
      <c r="B17" s="2077"/>
      <c r="C17" s="846" t="str">
        <f t="shared" si="4"/>
        <v>東</v>
      </c>
      <c r="D17" s="847">
        <f>結果!H96</f>
        <v>0</v>
      </c>
      <c r="E17" s="847">
        <f>結果!J96</f>
        <v>0</v>
      </c>
      <c r="F17" s="847">
        <f>結果!L96</f>
        <v>0</v>
      </c>
      <c r="G17" s="848">
        <f>結果!Q96</f>
        <v>0</v>
      </c>
      <c r="H17" s="1010"/>
      <c r="I17" s="1010"/>
      <c r="J17" s="2085"/>
      <c r="K17" s="2085"/>
      <c r="L17" s="2085"/>
      <c r="M17" s="896"/>
      <c r="N17" s="2085"/>
      <c r="O17" s="2085"/>
      <c r="P17" s="2085"/>
    </row>
    <row r="18" spans="2:16">
      <c r="B18" s="2077"/>
      <c r="C18" s="846" t="str">
        <f t="shared" si="4"/>
        <v>南東</v>
      </c>
      <c r="D18" s="847">
        <f>結果!H97</f>
        <v>0</v>
      </c>
      <c r="E18" s="847">
        <f>結果!J97</f>
        <v>0</v>
      </c>
      <c r="F18" s="847">
        <f>結果!L97</f>
        <v>0</v>
      </c>
      <c r="G18" s="848">
        <f>結果!Q97</f>
        <v>0</v>
      </c>
      <c r="H18" s="1010"/>
      <c r="I18" s="1010"/>
      <c r="J18" s="2085"/>
      <c r="K18" s="2085"/>
      <c r="L18" s="2085"/>
      <c r="M18" s="896"/>
      <c r="N18" s="2085"/>
      <c r="O18" s="2085"/>
      <c r="P18" s="2085"/>
    </row>
    <row r="19" spans="2:16">
      <c r="B19" s="2077"/>
      <c r="C19" s="846" t="str">
        <f t="shared" si="4"/>
        <v>南</v>
      </c>
      <c r="D19" s="847">
        <f>結果!H98</f>
        <v>0</v>
      </c>
      <c r="E19" s="847">
        <f>結果!J98</f>
        <v>0</v>
      </c>
      <c r="F19" s="847">
        <f>結果!L98</f>
        <v>0</v>
      </c>
      <c r="G19" s="848">
        <f>結果!Q98</f>
        <v>0</v>
      </c>
      <c r="H19" s="1010"/>
      <c r="I19" s="1010"/>
      <c r="J19" s="2085"/>
      <c r="K19" s="2085"/>
      <c r="L19" s="2085"/>
      <c r="M19" s="896"/>
      <c r="N19" s="2085"/>
      <c r="O19" s="2085"/>
      <c r="P19" s="2085"/>
    </row>
    <row r="20" spans="2:16">
      <c r="B20" s="2077"/>
      <c r="C20" s="846" t="str">
        <f t="shared" si="4"/>
        <v>南西</v>
      </c>
      <c r="D20" s="847">
        <f>結果!H99</f>
        <v>0</v>
      </c>
      <c r="E20" s="847">
        <f>結果!J99</f>
        <v>0</v>
      </c>
      <c r="F20" s="847">
        <f>結果!L99</f>
        <v>0</v>
      </c>
      <c r="G20" s="848">
        <f>結果!Q99</f>
        <v>0</v>
      </c>
      <c r="H20" s="1010"/>
      <c r="I20" s="1010"/>
      <c r="J20" s="2085"/>
      <c r="K20" s="2085"/>
      <c r="L20" s="2085"/>
      <c r="M20" s="896"/>
      <c r="N20" s="2085"/>
      <c r="O20" s="2085"/>
      <c r="P20" s="2085"/>
    </row>
    <row r="21" spans="2:16">
      <c r="B21" s="2077"/>
      <c r="C21" s="846" t="str">
        <f t="shared" si="4"/>
        <v>西</v>
      </c>
      <c r="D21" s="847">
        <f>結果!H100</f>
        <v>0</v>
      </c>
      <c r="E21" s="847">
        <f>結果!J100</f>
        <v>0</v>
      </c>
      <c r="F21" s="847">
        <f>結果!L100</f>
        <v>0</v>
      </c>
      <c r="G21" s="848">
        <f>結果!Q100</f>
        <v>0</v>
      </c>
      <c r="H21" s="1010"/>
      <c r="I21" s="1010"/>
      <c r="J21" s="2085"/>
      <c r="K21" s="2085"/>
      <c r="L21" s="2085"/>
      <c r="M21" s="896"/>
      <c r="N21" s="2085"/>
      <c r="O21" s="2085"/>
      <c r="P21" s="2085"/>
    </row>
    <row r="22" spans="2:16" ht="13.5" thickBot="1">
      <c r="B22" s="2077"/>
      <c r="C22" s="849" t="str">
        <f t="shared" si="4"/>
        <v>北西</v>
      </c>
      <c r="D22" s="847">
        <f>結果!H101</f>
        <v>0</v>
      </c>
      <c r="E22" s="847">
        <f>結果!J101</f>
        <v>0</v>
      </c>
      <c r="F22" s="847">
        <f>結果!L101</f>
        <v>0</v>
      </c>
      <c r="G22" s="848">
        <f>結果!Q101</f>
        <v>0</v>
      </c>
      <c r="H22" s="1010"/>
      <c r="I22" s="1010"/>
      <c r="J22" s="2086"/>
      <c r="K22" s="2085"/>
      <c r="L22" s="2085"/>
      <c r="M22" s="896"/>
      <c r="N22" s="2085"/>
      <c r="O22" s="2085"/>
      <c r="P22" s="2085"/>
    </row>
    <row r="23" spans="2:16" ht="13.5" thickBot="1">
      <c r="B23" s="2079"/>
      <c r="C23" s="852" t="str">
        <f t="shared" si="4"/>
        <v>合計</v>
      </c>
      <c r="D23" s="853">
        <f>SUM(D15:D22)</f>
        <v>0</v>
      </c>
      <c r="E23" s="853">
        <f t="shared" ref="E23:G23" si="5">SUM(E15:E22)</f>
        <v>0</v>
      </c>
      <c r="F23" s="853">
        <f t="shared" si="5"/>
        <v>0</v>
      </c>
      <c r="G23" s="854">
        <f t="shared" si="5"/>
        <v>0</v>
      </c>
      <c r="H23" s="1010"/>
      <c r="I23" s="1010"/>
      <c r="J23" s="855" t="str">
        <f>IF(D32&gt;=D33,"９時",IF(E32&gt;=D33,"１２時","１５時"))</f>
        <v>９時</v>
      </c>
      <c r="K23" s="2087"/>
      <c r="L23" s="2087"/>
      <c r="M23" s="896"/>
      <c r="N23" s="999"/>
      <c r="O23" s="2087"/>
      <c r="P23" s="2087"/>
    </row>
    <row r="24" spans="2:16">
      <c r="B24" s="2076" t="s">
        <v>1129</v>
      </c>
      <c r="C24" s="856" t="str">
        <f>C15</f>
        <v>北</v>
      </c>
      <c r="D24" s="844">
        <f>D6-D15</f>
        <v>0</v>
      </c>
      <c r="E24" s="844">
        <f t="shared" ref="E24:G24" si="6">E6-E15</f>
        <v>0</v>
      </c>
      <c r="F24" s="844">
        <f t="shared" si="6"/>
        <v>0</v>
      </c>
      <c r="G24" s="845">
        <f t="shared" si="6"/>
        <v>0</v>
      </c>
      <c r="H24" s="1010"/>
      <c r="I24" s="1010"/>
      <c r="J24" s="857">
        <f>IF(D32&gt;=D33,D24,IF(E32&gt;=D33,E24,F24))</f>
        <v>0</v>
      </c>
      <c r="K24" s="858">
        <f>温度条件他根拠!C36</f>
        <v>0</v>
      </c>
      <c r="L24" s="859">
        <f>K24*J24</f>
        <v>0</v>
      </c>
      <c r="M24" s="896"/>
      <c r="N24" s="860">
        <f>G24</f>
        <v>0</v>
      </c>
      <c r="O24" s="858">
        <f>K24</f>
        <v>0</v>
      </c>
      <c r="P24" s="859">
        <f>O24*N24</f>
        <v>0</v>
      </c>
    </row>
    <row r="25" spans="2:16">
      <c r="B25" s="2077"/>
      <c r="C25" s="861" t="str">
        <f t="shared" si="4"/>
        <v>北東</v>
      </c>
      <c r="D25" s="847">
        <f t="shared" ref="D25:G31" si="7">D7-D16</f>
        <v>0</v>
      </c>
      <c r="E25" s="847">
        <f t="shared" si="7"/>
        <v>0</v>
      </c>
      <c r="F25" s="847">
        <f t="shared" si="7"/>
        <v>0</v>
      </c>
      <c r="G25" s="848">
        <f t="shared" si="7"/>
        <v>0</v>
      </c>
      <c r="H25" s="1010"/>
      <c r="I25" s="1010"/>
      <c r="J25" s="862">
        <f>IF(D32&gt;=D33,D25,IF(E32&gt;=D33,E25,F25))</f>
        <v>0</v>
      </c>
      <c r="K25" s="863">
        <f>温度条件他根拠!D36</f>
        <v>2.5</v>
      </c>
      <c r="L25" s="864">
        <f t="shared" ref="L25:L31" si="8">K25*J25</f>
        <v>0</v>
      </c>
      <c r="M25" s="896"/>
      <c r="N25" s="865">
        <f>G25</f>
        <v>0</v>
      </c>
      <c r="O25" s="863">
        <f>K25</f>
        <v>2.5</v>
      </c>
      <c r="P25" s="864">
        <f t="shared" ref="P25:P31" si="9">O25*N25</f>
        <v>0</v>
      </c>
    </row>
    <row r="26" spans="2:16">
      <c r="B26" s="2077"/>
      <c r="C26" s="861" t="str">
        <f t="shared" si="4"/>
        <v>東</v>
      </c>
      <c r="D26" s="847">
        <f t="shared" si="7"/>
        <v>0</v>
      </c>
      <c r="E26" s="847">
        <f t="shared" si="7"/>
        <v>0</v>
      </c>
      <c r="F26" s="847">
        <f t="shared" si="7"/>
        <v>0</v>
      </c>
      <c r="G26" s="848">
        <f t="shared" si="7"/>
        <v>0</v>
      </c>
      <c r="H26" s="1010"/>
      <c r="I26" s="1010"/>
      <c r="J26" s="862">
        <f>IF(D32&gt;=D33,D26,IF(E32&gt;=D33,E26,F26))</f>
        <v>0</v>
      </c>
      <c r="K26" s="863">
        <f>温度条件他根拠!E36</f>
        <v>3.5</v>
      </c>
      <c r="L26" s="864">
        <f t="shared" si="8"/>
        <v>0</v>
      </c>
      <c r="M26" s="896"/>
      <c r="N26" s="865">
        <f t="shared" ref="N26:N31" si="10">G26</f>
        <v>0</v>
      </c>
      <c r="O26" s="863">
        <f t="shared" ref="O26:O31" si="11">K26</f>
        <v>3.5</v>
      </c>
      <c r="P26" s="864">
        <f t="shared" si="9"/>
        <v>0</v>
      </c>
    </row>
    <row r="27" spans="2:16">
      <c r="B27" s="2077"/>
      <c r="C27" s="861" t="str">
        <f t="shared" si="4"/>
        <v>南東</v>
      </c>
      <c r="D27" s="847">
        <f t="shared" si="7"/>
        <v>0</v>
      </c>
      <c r="E27" s="847">
        <f t="shared" si="7"/>
        <v>0</v>
      </c>
      <c r="F27" s="847">
        <f t="shared" si="7"/>
        <v>0</v>
      </c>
      <c r="G27" s="848">
        <f t="shared" si="7"/>
        <v>0</v>
      </c>
      <c r="H27" s="1010"/>
      <c r="I27" s="1010"/>
      <c r="J27" s="862">
        <f>IF(D32&gt;=D33,D27,IF(E32&gt;=D33,E27,F27))</f>
        <v>0</v>
      </c>
      <c r="K27" s="863">
        <f>温度条件他根拠!F36</f>
        <v>4.5</v>
      </c>
      <c r="L27" s="864">
        <f t="shared" si="8"/>
        <v>0</v>
      </c>
      <c r="M27" s="896"/>
      <c r="N27" s="865">
        <f t="shared" si="10"/>
        <v>0</v>
      </c>
      <c r="O27" s="863">
        <f t="shared" si="11"/>
        <v>4.5</v>
      </c>
      <c r="P27" s="864">
        <f t="shared" si="9"/>
        <v>0</v>
      </c>
    </row>
    <row r="28" spans="2:16">
      <c r="B28" s="2077"/>
      <c r="C28" s="861" t="str">
        <f t="shared" si="4"/>
        <v>南</v>
      </c>
      <c r="D28" s="847">
        <f t="shared" si="7"/>
        <v>0</v>
      </c>
      <c r="E28" s="847">
        <f t="shared" si="7"/>
        <v>0</v>
      </c>
      <c r="F28" s="847">
        <f t="shared" si="7"/>
        <v>0</v>
      </c>
      <c r="G28" s="848">
        <f t="shared" si="7"/>
        <v>0</v>
      </c>
      <c r="H28" s="1010"/>
      <c r="I28" s="1010"/>
      <c r="J28" s="862">
        <f>IF(D32&gt;=D33,D28,IF(E32&gt;=D33,E28,F28))</f>
        <v>0</v>
      </c>
      <c r="K28" s="866">
        <f>温度条件他根拠!G36</f>
        <v>5</v>
      </c>
      <c r="L28" s="864">
        <f t="shared" si="8"/>
        <v>0</v>
      </c>
      <c r="M28" s="896"/>
      <c r="N28" s="865">
        <f t="shared" si="10"/>
        <v>0</v>
      </c>
      <c r="O28" s="866">
        <f t="shared" si="11"/>
        <v>5</v>
      </c>
      <c r="P28" s="864">
        <f t="shared" si="9"/>
        <v>0</v>
      </c>
    </row>
    <row r="29" spans="2:16">
      <c r="B29" s="2077"/>
      <c r="C29" s="861" t="str">
        <f t="shared" si="4"/>
        <v>南西</v>
      </c>
      <c r="D29" s="847">
        <f t="shared" si="7"/>
        <v>0</v>
      </c>
      <c r="E29" s="847">
        <f t="shared" si="7"/>
        <v>0</v>
      </c>
      <c r="F29" s="847">
        <f t="shared" si="7"/>
        <v>0</v>
      </c>
      <c r="G29" s="848">
        <f t="shared" si="7"/>
        <v>0</v>
      </c>
      <c r="H29" s="1010"/>
      <c r="I29" s="1010"/>
      <c r="J29" s="862">
        <f>IF(D32&gt;=D33,D29,IF(E32&gt;=D33,E29,F29))</f>
        <v>0</v>
      </c>
      <c r="K29" s="863">
        <f>温度条件他根拠!H36</f>
        <v>4.5</v>
      </c>
      <c r="L29" s="864">
        <f t="shared" si="8"/>
        <v>0</v>
      </c>
      <c r="M29" s="896"/>
      <c r="N29" s="865">
        <f t="shared" si="10"/>
        <v>0</v>
      </c>
      <c r="O29" s="863">
        <f t="shared" si="11"/>
        <v>4.5</v>
      </c>
      <c r="P29" s="864">
        <f t="shared" si="9"/>
        <v>0</v>
      </c>
    </row>
    <row r="30" spans="2:16">
      <c r="B30" s="2077"/>
      <c r="C30" s="861" t="str">
        <f t="shared" si="4"/>
        <v>西</v>
      </c>
      <c r="D30" s="847">
        <f t="shared" si="7"/>
        <v>0</v>
      </c>
      <c r="E30" s="847">
        <f t="shared" si="7"/>
        <v>0</v>
      </c>
      <c r="F30" s="847">
        <f t="shared" si="7"/>
        <v>0</v>
      </c>
      <c r="G30" s="848">
        <f t="shared" si="7"/>
        <v>0</v>
      </c>
      <c r="H30" s="1010"/>
      <c r="I30" s="1010"/>
      <c r="J30" s="862">
        <f>IF(D32&gt;=D33,D30,IF(E32&gt;=D33,E30,F30))</f>
        <v>0</v>
      </c>
      <c r="K30" s="863">
        <f>温度条件他根拠!I36</f>
        <v>3.5</v>
      </c>
      <c r="L30" s="864">
        <f t="shared" si="8"/>
        <v>0</v>
      </c>
      <c r="M30" s="896"/>
      <c r="N30" s="865">
        <f t="shared" si="10"/>
        <v>0</v>
      </c>
      <c r="O30" s="863">
        <f t="shared" si="11"/>
        <v>3.5</v>
      </c>
      <c r="P30" s="864">
        <f t="shared" si="9"/>
        <v>0</v>
      </c>
    </row>
    <row r="31" spans="2:16" ht="13.5" thickBot="1">
      <c r="B31" s="2077"/>
      <c r="C31" s="867" t="str">
        <f t="shared" si="4"/>
        <v>北西</v>
      </c>
      <c r="D31" s="850">
        <f t="shared" si="7"/>
        <v>0</v>
      </c>
      <c r="E31" s="850">
        <f t="shared" si="7"/>
        <v>0</v>
      </c>
      <c r="F31" s="850">
        <f t="shared" si="7"/>
        <v>0</v>
      </c>
      <c r="G31" s="851">
        <f t="shared" si="7"/>
        <v>0</v>
      </c>
      <c r="H31" s="1010"/>
      <c r="I31" s="1010"/>
      <c r="J31" s="868">
        <f>IF(D32&gt;=D33,D31,IF(E32&gt;=D33,E31,F31))</f>
        <v>0</v>
      </c>
      <c r="K31" s="869">
        <f>温度条件他根拠!J36</f>
        <v>2.5</v>
      </c>
      <c r="L31" s="870">
        <f t="shared" si="8"/>
        <v>0</v>
      </c>
      <c r="M31" s="896"/>
      <c r="N31" s="865">
        <f t="shared" si="10"/>
        <v>0</v>
      </c>
      <c r="O31" s="863">
        <f t="shared" si="11"/>
        <v>2.5</v>
      </c>
      <c r="P31" s="870">
        <f t="shared" si="9"/>
        <v>0</v>
      </c>
    </row>
    <row r="32" spans="2:16" ht="13.5" thickBot="1">
      <c r="B32" s="2078"/>
      <c r="C32" s="871" t="str">
        <f t="shared" si="4"/>
        <v>合計</v>
      </c>
      <c r="D32" s="872">
        <f>SUM(D24:D31)</f>
        <v>0</v>
      </c>
      <c r="E32" s="872">
        <f t="shared" ref="E32:G32" si="12">SUM(E24:E31)</f>
        <v>0</v>
      </c>
      <c r="F32" s="872">
        <f t="shared" si="12"/>
        <v>0</v>
      </c>
      <c r="G32" s="873">
        <f t="shared" si="12"/>
        <v>0</v>
      </c>
      <c r="H32" s="1010"/>
      <c r="I32" s="1010"/>
      <c r="J32" s="874">
        <f>SUM(J24:J31)</f>
        <v>0</v>
      </c>
      <c r="K32" s="875"/>
      <c r="L32" s="876">
        <f>SUM(L24:L31)</f>
        <v>0</v>
      </c>
      <c r="M32" s="896"/>
      <c r="N32" s="874">
        <f>SUM(N24:N31)</f>
        <v>0</v>
      </c>
      <c r="O32" s="875"/>
      <c r="P32" s="876">
        <f>SUM(P24:P31)</f>
        <v>0</v>
      </c>
    </row>
    <row r="33" spans="2:30" ht="13.5" thickBot="1">
      <c r="B33" s="2079"/>
      <c r="C33" s="871" t="s">
        <v>1130</v>
      </c>
      <c r="D33" s="2081">
        <f>MAX(D32:F32)</f>
        <v>0</v>
      </c>
      <c r="E33" s="2082"/>
      <c r="F33" s="2083"/>
      <c r="G33" s="873">
        <f>G32</f>
        <v>0</v>
      </c>
      <c r="H33" s="894"/>
      <c r="I33" s="894"/>
      <c r="J33" s="894"/>
      <c r="K33" s="894"/>
      <c r="L33" s="894"/>
      <c r="M33" s="896"/>
      <c r="N33" s="896"/>
      <c r="O33" s="896"/>
      <c r="P33" s="897"/>
    </row>
    <row r="34" spans="2:30" s="897" customFormat="1">
      <c r="B34" s="893"/>
      <c r="C34" s="894"/>
      <c r="D34" s="895"/>
      <c r="E34" s="894"/>
      <c r="F34" s="894"/>
      <c r="G34" s="895"/>
      <c r="H34" s="894"/>
      <c r="I34" s="894"/>
      <c r="J34" s="894"/>
      <c r="K34" s="894"/>
      <c r="L34" s="894"/>
      <c r="M34" s="896"/>
      <c r="N34" s="896"/>
      <c r="O34" s="896"/>
    </row>
    <row r="35" spans="2:30" s="897" customFormat="1">
      <c r="B35" s="893"/>
      <c r="C35" s="894"/>
      <c r="D35" s="895"/>
      <c r="E35" s="894"/>
      <c r="F35" s="894"/>
      <c r="G35" s="895"/>
      <c r="H35" s="894"/>
      <c r="I35" s="894"/>
      <c r="J35" s="894"/>
      <c r="K35" s="894"/>
      <c r="L35" s="894"/>
      <c r="M35" s="896"/>
      <c r="N35" s="896"/>
      <c r="O35" s="896"/>
    </row>
    <row r="36" spans="2:30" s="897" customFormat="1">
      <c r="B36" s="893"/>
      <c r="C36" s="894"/>
      <c r="D36" s="895"/>
      <c r="E36" s="894"/>
      <c r="F36" s="894"/>
      <c r="G36" s="895"/>
      <c r="H36" s="894"/>
      <c r="I36" s="894"/>
      <c r="J36" s="894"/>
      <c r="K36" s="894"/>
      <c r="L36" s="894"/>
      <c r="M36" s="896"/>
      <c r="N36" s="896"/>
      <c r="O36" s="896"/>
    </row>
    <row r="37" spans="2:30" s="897" customFormat="1">
      <c r="B37" s="893"/>
      <c r="C37" s="894"/>
      <c r="D37" s="895"/>
      <c r="E37" s="894"/>
      <c r="F37" s="894"/>
      <c r="G37" s="895"/>
      <c r="H37" s="894"/>
      <c r="I37" s="894"/>
      <c r="J37" s="894"/>
      <c r="K37" s="894"/>
      <c r="L37" s="894"/>
      <c r="M37" s="896"/>
      <c r="N37" s="896"/>
      <c r="O37" s="896"/>
    </row>
    <row r="38" spans="2:30" s="897" customFormat="1">
      <c r="B38" s="893"/>
      <c r="C38" s="894"/>
      <c r="D38" s="895"/>
      <c r="E38" s="894"/>
      <c r="F38" s="894"/>
      <c r="G38" s="895"/>
      <c r="H38" s="894"/>
      <c r="I38" s="894"/>
      <c r="J38" s="894"/>
      <c r="K38" s="894"/>
      <c r="L38" s="894"/>
      <c r="M38" s="896"/>
      <c r="N38" s="896"/>
      <c r="O38" s="896"/>
    </row>
    <row r="39" spans="2:30" s="897" customFormat="1">
      <c r="B39" s="893"/>
      <c r="C39" s="894"/>
      <c r="D39" s="895"/>
      <c r="E39" s="894"/>
      <c r="F39" s="894"/>
      <c r="G39" s="895"/>
      <c r="H39" s="894"/>
      <c r="I39" s="894"/>
      <c r="J39" s="894"/>
      <c r="K39" s="894"/>
      <c r="L39" s="894"/>
      <c r="M39" s="896"/>
      <c r="N39" s="896"/>
      <c r="O39" s="896"/>
    </row>
    <row r="40" spans="2:30" s="897" customFormat="1">
      <c r="B40" s="893"/>
      <c r="C40" s="894"/>
      <c r="D40" s="895"/>
      <c r="E40" s="894"/>
      <c r="F40" s="894"/>
      <c r="G40" s="895"/>
      <c r="H40" s="894"/>
      <c r="I40" s="894"/>
      <c r="J40" s="894"/>
      <c r="K40" s="894"/>
      <c r="L40" s="894"/>
      <c r="M40" s="896"/>
      <c r="N40" s="896"/>
      <c r="O40" s="896"/>
    </row>
    <row r="41" spans="2:30" s="897" customFormat="1">
      <c r="B41" s="893"/>
      <c r="C41" s="894"/>
      <c r="D41" s="895"/>
      <c r="E41" s="894"/>
      <c r="F41" s="894"/>
      <c r="G41" s="895"/>
      <c r="H41" s="894"/>
      <c r="I41" s="894"/>
      <c r="J41" s="894"/>
      <c r="K41" s="894"/>
      <c r="L41" s="894"/>
      <c r="M41" s="896"/>
      <c r="N41" s="896"/>
      <c r="O41" s="896"/>
    </row>
    <row r="42" spans="2:30" s="897" customFormat="1">
      <c r="B42" s="893"/>
      <c r="C42" s="894"/>
      <c r="D42" s="895"/>
      <c r="E42" s="894"/>
      <c r="F42" s="894"/>
      <c r="G42" s="895"/>
      <c r="H42" s="894"/>
      <c r="I42" s="894"/>
      <c r="J42" s="894"/>
      <c r="K42" s="894"/>
      <c r="L42" s="894"/>
      <c r="M42" s="896"/>
      <c r="N42" s="896"/>
      <c r="O42" s="896"/>
    </row>
    <row r="43" spans="2:30" s="897" customFormat="1">
      <c r="B43" s="893"/>
      <c r="C43" s="894"/>
      <c r="D43" s="895"/>
      <c r="E43" s="894"/>
      <c r="F43" s="894"/>
      <c r="G43" s="895"/>
      <c r="H43" s="894"/>
      <c r="I43" s="894"/>
      <c r="J43" s="894"/>
      <c r="K43" s="894"/>
      <c r="L43" s="894"/>
      <c r="M43" s="896"/>
      <c r="N43" s="896"/>
      <c r="O43" s="896"/>
    </row>
    <row r="44" spans="2:30" s="897" customFormat="1">
      <c r="B44" s="893"/>
      <c r="C44" s="894"/>
      <c r="D44" s="895"/>
      <c r="E44" s="894"/>
      <c r="F44" s="894"/>
      <c r="G44" s="895"/>
      <c r="H44" s="894"/>
      <c r="I44" s="894"/>
      <c r="J44" s="894"/>
      <c r="K44" s="894"/>
      <c r="L44" s="894"/>
      <c r="M44" s="896"/>
      <c r="N44" s="896"/>
      <c r="O44" s="896"/>
    </row>
    <row r="45" spans="2:30">
      <c r="B45" s="1129" t="s">
        <v>183</v>
      </c>
      <c r="C45" s="1129"/>
      <c r="D45" s="1129"/>
      <c r="E45" s="1129"/>
      <c r="F45" s="1129"/>
      <c r="G45" s="1129"/>
      <c r="H45" s="1129"/>
      <c r="I45" s="1129"/>
      <c r="J45" s="1129"/>
      <c r="K45" s="1129"/>
      <c r="L45" s="1129"/>
      <c r="M45" s="1129"/>
      <c r="N45" s="1129"/>
      <c r="O45" s="1129"/>
    </row>
    <row r="46" spans="2:30" ht="36">
      <c r="B46" s="686" t="s">
        <v>0</v>
      </c>
      <c r="C46" s="814" t="s">
        <v>1117</v>
      </c>
      <c r="D46" s="814" t="s">
        <v>1118</v>
      </c>
      <c r="E46" s="814" t="s">
        <v>1116</v>
      </c>
      <c r="F46" s="20" t="s">
        <v>42</v>
      </c>
      <c r="G46" s="20" t="s">
        <v>43</v>
      </c>
      <c r="H46" s="18" t="s">
        <v>35</v>
      </c>
      <c r="I46" s="18" t="s">
        <v>36</v>
      </c>
      <c r="J46" s="20" t="s">
        <v>2</v>
      </c>
      <c r="K46" s="20" t="s">
        <v>3</v>
      </c>
      <c r="L46" s="20" t="s">
        <v>39</v>
      </c>
      <c r="M46" s="20" t="s">
        <v>38</v>
      </c>
      <c r="N46" s="20" t="s">
        <v>45</v>
      </c>
      <c r="O46" s="20" t="s">
        <v>44</v>
      </c>
      <c r="Q46" s="686" t="s">
        <v>0</v>
      </c>
      <c r="R46" s="1017" t="s">
        <v>1391</v>
      </c>
      <c r="S46" s="1017" t="s">
        <v>1392</v>
      </c>
      <c r="T46" s="1014" t="s">
        <v>1116</v>
      </c>
      <c r="U46" s="20" t="s">
        <v>42</v>
      </c>
      <c r="V46" s="20" t="s">
        <v>43</v>
      </c>
      <c r="W46" s="18" t="s">
        <v>566</v>
      </c>
      <c r="X46" s="20" t="s">
        <v>567</v>
      </c>
      <c r="Y46" s="20" t="s">
        <v>2</v>
      </c>
      <c r="Z46" s="20" t="s">
        <v>3</v>
      </c>
      <c r="AA46" s="20" t="s">
        <v>568</v>
      </c>
      <c r="AB46" s="20" t="s">
        <v>569</v>
      </c>
      <c r="AC46" s="20" t="s">
        <v>570</v>
      </c>
      <c r="AD46" s="20" t="s">
        <v>571</v>
      </c>
    </row>
    <row r="47" spans="2:30" ht="36">
      <c r="B47" s="686" t="s">
        <v>14</v>
      </c>
      <c r="C47" s="20" t="s">
        <v>16</v>
      </c>
      <c r="D47" s="20" t="s">
        <v>17</v>
      </c>
      <c r="E47" s="704" t="s">
        <v>18</v>
      </c>
      <c r="F47" s="20" t="s">
        <v>19</v>
      </c>
      <c r="G47" s="20" t="s">
        <v>20</v>
      </c>
      <c r="H47" s="20" t="s">
        <v>30</v>
      </c>
      <c r="I47" s="20" t="s">
        <v>29</v>
      </c>
      <c r="J47" s="20" t="s">
        <v>21</v>
      </c>
      <c r="K47" s="20" t="s">
        <v>22</v>
      </c>
      <c r="L47" s="20" t="s">
        <v>608</v>
      </c>
      <c r="M47" s="20" t="s">
        <v>607</v>
      </c>
      <c r="N47" s="687" t="s">
        <v>25</v>
      </c>
      <c r="O47" s="20" t="s">
        <v>32</v>
      </c>
      <c r="Q47" s="686" t="s">
        <v>14</v>
      </c>
      <c r="R47" s="20" t="s">
        <v>16</v>
      </c>
      <c r="S47" s="20" t="s">
        <v>17</v>
      </c>
      <c r="T47" s="704" t="s">
        <v>18</v>
      </c>
      <c r="U47" s="20" t="s">
        <v>19</v>
      </c>
      <c r="V47" s="20" t="s">
        <v>20</v>
      </c>
      <c r="W47" s="20" t="s">
        <v>30</v>
      </c>
      <c r="X47" s="20" t="s">
        <v>29</v>
      </c>
      <c r="Y47" s="20" t="s">
        <v>21</v>
      </c>
      <c r="Z47" s="20" t="s">
        <v>22</v>
      </c>
      <c r="AA47" s="20" t="s">
        <v>608</v>
      </c>
      <c r="AB47" s="20" t="s">
        <v>607</v>
      </c>
      <c r="AC47" s="687" t="s">
        <v>25</v>
      </c>
      <c r="AD47" s="20" t="s">
        <v>32</v>
      </c>
    </row>
    <row r="48" spans="2:30">
      <c r="B48" s="684" t="s">
        <v>15</v>
      </c>
      <c r="C48" s="835" t="s">
        <v>1115</v>
      </c>
      <c r="D48" s="835" t="s">
        <v>1115</v>
      </c>
      <c r="E48" s="835" t="s">
        <v>172</v>
      </c>
      <c r="F48" s="5" t="s">
        <v>10</v>
      </c>
      <c r="G48" s="5" t="s">
        <v>10</v>
      </c>
      <c r="H48" s="5" t="s">
        <v>11</v>
      </c>
      <c r="I48" s="5" t="s">
        <v>11</v>
      </c>
      <c r="J48" s="5" t="s">
        <v>10</v>
      </c>
      <c r="K48" s="5" t="s">
        <v>10</v>
      </c>
      <c r="L48" s="5" t="s">
        <v>11</v>
      </c>
      <c r="M48" s="5" t="s">
        <v>11</v>
      </c>
      <c r="N48" s="5" t="s">
        <v>11</v>
      </c>
      <c r="O48" s="684" t="s">
        <v>31</v>
      </c>
      <c r="Q48" s="684" t="s">
        <v>15</v>
      </c>
      <c r="R48" s="835" t="s">
        <v>1115</v>
      </c>
      <c r="S48" s="835" t="s">
        <v>1115</v>
      </c>
      <c r="T48" s="835" t="s">
        <v>172</v>
      </c>
      <c r="U48" s="5" t="s">
        <v>10</v>
      </c>
      <c r="V48" s="5" t="s">
        <v>10</v>
      </c>
      <c r="W48" s="5" t="s">
        <v>11</v>
      </c>
      <c r="X48" s="5" t="s">
        <v>11</v>
      </c>
      <c r="Y48" s="5" t="s">
        <v>10</v>
      </c>
      <c r="Z48" s="5" t="s">
        <v>10</v>
      </c>
      <c r="AA48" s="5" t="s">
        <v>11</v>
      </c>
      <c r="AB48" s="5" t="s">
        <v>11</v>
      </c>
      <c r="AC48" s="5" t="s">
        <v>11</v>
      </c>
      <c r="AD48" s="684" t="s">
        <v>31</v>
      </c>
    </row>
    <row r="49" spans="2:30">
      <c r="B49" s="684">
        <v>1</v>
      </c>
      <c r="C49" s="3"/>
      <c r="D49" s="836">
        <f>P32</f>
        <v>0</v>
      </c>
      <c r="E49" s="837">
        <f>温度条件他根拠!E21</f>
        <v>0</v>
      </c>
      <c r="F49" s="838">
        <v>0</v>
      </c>
      <c r="G49" s="839">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684">
        <v>1</v>
      </c>
      <c r="R49" s="3"/>
      <c r="S49" s="836">
        <f>P14</f>
        <v>0</v>
      </c>
      <c r="T49" s="837">
        <f>温度条件他根拠!E21</f>
        <v>0</v>
      </c>
      <c r="U49" s="838">
        <f>F49</f>
        <v>0</v>
      </c>
      <c r="V49" s="1001">
        <f>G49</f>
        <v>0.79999999999999993</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684">
        <v>2</v>
      </c>
      <c r="C50" s="3"/>
      <c r="D50" s="3"/>
      <c r="E50" s="838">
        <f>E49</f>
        <v>0</v>
      </c>
      <c r="F50" s="838">
        <v>0</v>
      </c>
      <c r="G50" s="839">
        <f>0.8*(温度条件他根拠!$E$10-0)/(温度条件他根拠!$E$10-温度条件他根拠!$E$8)</f>
        <v>0.77294685990338163</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684">
        <v>2</v>
      </c>
      <c r="R50" s="3"/>
      <c r="S50" s="3"/>
      <c r="T50" s="838">
        <f>T49</f>
        <v>0</v>
      </c>
      <c r="U50" s="838">
        <f t="shared" ref="U50:V60" si="21">F50</f>
        <v>0</v>
      </c>
      <c r="V50" s="1001">
        <f t="shared" si="21"/>
        <v>0.77294685990338163</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684">
        <v>3</v>
      </c>
      <c r="C51" s="3"/>
      <c r="D51" s="3"/>
      <c r="E51" s="838">
        <f>E50</f>
        <v>0</v>
      </c>
      <c r="F51" s="838">
        <v>0</v>
      </c>
      <c r="G51" s="839">
        <f>0.8*(温度条件他根拠!$E$10-3.1)/(温度条件他根拠!$E$10-温度条件他根拠!$E$8)</f>
        <v>0.65314009661835748</v>
      </c>
      <c r="H51" s="7">
        <f t="shared" si="17"/>
        <v>0</v>
      </c>
      <c r="I51" s="7">
        <f t="shared" si="18"/>
        <v>0</v>
      </c>
      <c r="J51" s="2">
        <f>J50</f>
        <v>3.55</v>
      </c>
      <c r="K51" s="6">
        <f>K50</f>
        <v>3.95</v>
      </c>
      <c r="L51" s="7">
        <f t="shared" si="13"/>
        <v>0</v>
      </c>
      <c r="M51" s="7">
        <f t="shared" si="13"/>
        <v>0</v>
      </c>
      <c r="N51" s="13">
        <f t="shared" si="19"/>
        <v>0</v>
      </c>
      <c r="O51" s="12">
        <f t="shared" si="20"/>
        <v>0</v>
      </c>
      <c r="Q51" s="684">
        <v>3</v>
      </c>
      <c r="R51" s="3"/>
      <c r="S51" s="3"/>
      <c r="T51" s="838">
        <f t="shared" ref="T51:T60" si="24">T50</f>
        <v>0</v>
      </c>
      <c r="U51" s="838">
        <f t="shared" si="21"/>
        <v>0</v>
      </c>
      <c r="V51" s="1001">
        <f t="shared" si="21"/>
        <v>0.65314009661835748</v>
      </c>
      <c r="W51" s="7">
        <f t="shared" si="14"/>
        <v>0</v>
      </c>
      <c r="X51" s="7">
        <f t="shared" si="15"/>
        <v>0</v>
      </c>
      <c r="Y51" s="2">
        <f>Y50</f>
        <v>3.55</v>
      </c>
      <c r="Z51" s="6">
        <f>Z50</f>
        <v>3.95</v>
      </c>
      <c r="AA51" s="7">
        <f t="shared" si="16"/>
        <v>0</v>
      </c>
      <c r="AB51" s="7">
        <f t="shared" si="16"/>
        <v>0</v>
      </c>
      <c r="AC51" s="13">
        <f t="shared" si="22"/>
        <v>0</v>
      </c>
      <c r="AD51" s="12">
        <f t="shared" si="23"/>
        <v>0</v>
      </c>
    </row>
    <row r="52" spans="2:30">
      <c r="B52" s="684">
        <v>4</v>
      </c>
      <c r="C52" s="3"/>
      <c r="D52" s="3"/>
      <c r="E52" s="838">
        <f t="shared" ref="E52:E60" si="25">E51</f>
        <v>0</v>
      </c>
      <c r="F52" s="838">
        <v>0</v>
      </c>
      <c r="G52" s="839">
        <f>0.8*(温度条件他根拠!$E$10-8.4)/(温度条件他根拠!$E$10-温度条件他根拠!$E$8)</f>
        <v>0.44830917874396131</v>
      </c>
      <c r="H52" s="7">
        <f t="shared" si="17"/>
        <v>0</v>
      </c>
      <c r="I52" s="7">
        <f t="shared" si="18"/>
        <v>0</v>
      </c>
      <c r="J52" s="2">
        <f t="shared" ref="J52:K60" si="26">J51</f>
        <v>3.55</v>
      </c>
      <c r="K52" s="6">
        <f t="shared" si="26"/>
        <v>3.95</v>
      </c>
      <c r="L52" s="7">
        <f t="shared" si="13"/>
        <v>0</v>
      </c>
      <c r="M52" s="7">
        <f t="shared" si="13"/>
        <v>0</v>
      </c>
      <c r="N52" s="13">
        <f t="shared" si="19"/>
        <v>0</v>
      </c>
      <c r="O52" s="12">
        <f t="shared" si="20"/>
        <v>0</v>
      </c>
      <c r="Q52" s="684">
        <v>4</v>
      </c>
      <c r="R52" s="3"/>
      <c r="S52" s="3"/>
      <c r="T52" s="838">
        <f t="shared" si="24"/>
        <v>0</v>
      </c>
      <c r="U52" s="838">
        <f t="shared" si="21"/>
        <v>0</v>
      </c>
      <c r="V52" s="1001">
        <f t="shared" si="21"/>
        <v>0.44830917874396131</v>
      </c>
      <c r="W52" s="7">
        <f t="shared" si="14"/>
        <v>0</v>
      </c>
      <c r="X52" s="7">
        <f t="shared" si="15"/>
        <v>0</v>
      </c>
      <c r="Y52" s="2">
        <f t="shared" ref="Y52:Z60" si="27">Y51</f>
        <v>3.55</v>
      </c>
      <c r="Z52" s="6">
        <f t="shared" si="27"/>
        <v>3.95</v>
      </c>
      <c r="AA52" s="7">
        <f t="shared" si="16"/>
        <v>0</v>
      </c>
      <c r="AB52" s="7">
        <f t="shared" si="16"/>
        <v>0</v>
      </c>
      <c r="AC52" s="13">
        <f t="shared" si="22"/>
        <v>0</v>
      </c>
      <c r="AD52" s="12">
        <f t="shared" si="23"/>
        <v>0</v>
      </c>
    </row>
    <row r="53" spans="2:30">
      <c r="B53" s="684">
        <v>5</v>
      </c>
      <c r="C53" s="3"/>
      <c r="D53" s="3"/>
      <c r="E53" s="838">
        <f t="shared" si="25"/>
        <v>0</v>
      </c>
      <c r="F53" s="839">
        <f>0.175*(温度条件他根拠!$E$7-温度条件他根拠!$E$9)/(温度条件他根拠!$E$7-23.9)</f>
        <v>8.5312499999999958E-2</v>
      </c>
      <c r="G53" s="839">
        <f>0.2*(温度条件他根拠!$E$10-13.4)/(温度条件他根拠!$E$10-温度条件他根拠!$E$8)</f>
        <v>6.3768115942028997E-2</v>
      </c>
      <c r="H53" s="836">
        <f>$C$56*E53*F53/1000</f>
        <v>0</v>
      </c>
      <c r="I53" s="836">
        <f>G53*E53*$D$49/1000</f>
        <v>0</v>
      </c>
      <c r="J53" s="2">
        <f t="shared" si="26"/>
        <v>3.55</v>
      </c>
      <c r="K53" s="6">
        <f t="shared" si="26"/>
        <v>3.95</v>
      </c>
      <c r="L53" s="7">
        <f t="shared" si="13"/>
        <v>0</v>
      </c>
      <c r="M53" s="7">
        <f t="shared" si="13"/>
        <v>0</v>
      </c>
      <c r="N53" s="13">
        <f t="shared" si="19"/>
        <v>0</v>
      </c>
      <c r="O53" s="12">
        <f t="shared" si="20"/>
        <v>0</v>
      </c>
      <c r="Q53" s="684">
        <v>5</v>
      </c>
      <c r="R53" s="3"/>
      <c r="S53" s="3"/>
      <c r="T53" s="838">
        <f t="shared" si="24"/>
        <v>0</v>
      </c>
      <c r="U53" s="1001">
        <f t="shared" si="21"/>
        <v>8.5312499999999958E-2</v>
      </c>
      <c r="V53" s="1001">
        <f t="shared" si="21"/>
        <v>6.3768115942028997E-2</v>
      </c>
      <c r="W53" s="836">
        <f t="shared" si="14"/>
        <v>0</v>
      </c>
      <c r="X53" s="836">
        <f t="shared" si="15"/>
        <v>0</v>
      </c>
      <c r="Y53" s="2">
        <f t="shared" si="27"/>
        <v>3.55</v>
      </c>
      <c r="Z53" s="6">
        <f t="shared" si="27"/>
        <v>3.95</v>
      </c>
      <c r="AA53" s="7">
        <f t="shared" si="16"/>
        <v>0</v>
      </c>
      <c r="AB53" s="7">
        <f t="shared" si="16"/>
        <v>0</v>
      </c>
      <c r="AC53" s="13">
        <f t="shared" si="22"/>
        <v>0</v>
      </c>
      <c r="AD53" s="12">
        <f t="shared" si="23"/>
        <v>0</v>
      </c>
    </row>
    <row r="54" spans="2:30">
      <c r="B54" s="684">
        <v>6</v>
      </c>
      <c r="C54" s="3"/>
      <c r="D54" s="3"/>
      <c r="E54" s="838">
        <f t="shared" si="25"/>
        <v>0</v>
      </c>
      <c r="F54" s="839">
        <f>0.7*(温度条件他根拠!$E$7-温度条件他根拠!$E$9)/(温度条件他根拠!$E$7-26.4)</f>
        <v>0.49636363636363612</v>
      </c>
      <c r="G54" s="838">
        <v>0</v>
      </c>
      <c r="H54" s="7">
        <f t="shared" si="17"/>
        <v>0</v>
      </c>
      <c r="I54" s="7">
        <f t="shared" si="18"/>
        <v>0</v>
      </c>
      <c r="J54" s="2">
        <f t="shared" si="26"/>
        <v>3.55</v>
      </c>
      <c r="K54" s="6">
        <f t="shared" si="26"/>
        <v>3.95</v>
      </c>
      <c r="L54" s="7">
        <f t="shared" si="13"/>
        <v>0</v>
      </c>
      <c r="M54" s="7">
        <f t="shared" si="13"/>
        <v>0</v>
      </c>
      <c r="N54" s="13">
        <f t="shared" si="19"/>
        <v>0</v>
      </c>
      <c r="O54" s="12">
        <f t="shared" si="20"/>
        <v>0</v>
      </c>
      <c r="Q54" s="684">
        <v>6</v>
      </c>
      <c r="R54" s="3"/>
      <c r="S54" s="3"/>
      <c r="T54" s="838">
        <f t="shared" si="24"/>
        <v>0</v>
      </c>
      <c r="U54" s="1001">
        <f t="shared" si="21"/>
        <v>0.49636363636363612</v>
      </c>
      <c r="V54" s="1009">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684">
        <v>7</v>
      </c>
      <c r="C55" s="3"/>
      <c r="D55" s="3"/>
      <c r="E55" s="838">
        <f t="shared" si="25"/>
        <v>0</v>
      </c>
      <c r="F55" s="839">
        <f>0.7*(温度条件他根拠!$E$7-温度条件他根拠!$E$9)/(温度条件他根拠!$E$7-28)</f>
        <v>0.7</v>
      </c>
      <c r="G55" s="838">
        <v>0</v>
      </c>
      <c r="H55" s="7">
        <f t="shared" si="17"/>
        <v>0</v>
      </c>
      <c r="I55" s="7">
        <f t="shared" si="18"/>
        <v>0</v>
      </c>
      <c r="J55" s="2">
        <f t="shared" si="26"/>
        <v>3.55</v>
      </c>
      <c r="K55" s="6">
        <f t="shared" si="26"/>
        <v>3.95</v>
      </c>
      <c r="L55" s="7">
        <f t="shared" si="13"/>
        <v>0</v>
      </c>
      <c r="M55" s="7">
        <f t="shared" si="13"/>
        <v>0</v>
      </c>
      <c r="N55" s="13">
        <f t="shared" si="19"/>
        <v>0</v>
      </c>
      <c r="O55" s="12">
        <f t="shared" si="20"/>
        <v>0</v>
      </c>
      <c r="Q55" s="684">
        <v>7</v>
      </c>
      <c r="R55" s="3"/>
      <c r="S55" s="3"/>
      <c r="T55" s="838">
        <f t="shared" si="24"/>
        <v>0</v>
      </c>
      <c r="U55" s="1001">
        <f t="shared" si="21"/>
        <v>0.7</v>
      </c>
      <c r="V55" s="1009">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684">
        <v>8</v>
      </c>
      <c r="C56" s="836">
        <f>L32</f>
        <v>0</v>
      </c>
      <c r="D56" s="3"/>
      <c r="E56" s="838">
        <f t="shared" si="25"/>
        <v>0</v>
      </c>
      <c r="F56" s="839">
        <f>0.7*(温度条件他根拠!$E$7-温度条件他根拠!$E$9)/(温度条件他根拠!$E$7-28)</f>
        <v>0.7</v>
      </c>
      <c r="G56" s="838">
        <v>0</v>
      </c>
      <c r="H56" s="7">
        <f t="shared" si="17"/>
        <v>0</v>
      </c>
      <c r="I56" s="7">
        <f t="shared" si="18"/>
        <v>0</v>
      </c>
      <c r="J56" s="2">
        <f t="shared" si="26"/>
        <v>3.55</v>
      </c>
      <c r="K56" s="6">
        <f t="shared" si="26"/>
        <v>3.95</v>
      </c>
      <c r="L56" s="7">
        <f t="shared" si="13"/>
        <v>0</v>
      </c>
      <c r="M56" s="7">
        <f t="shared" si="13"/>
        <v>0</v>
      </c>
      <c r="N56" s="13">
        <f t="shared" si="19"/>
        <v>0</v>
      </c>
      <c r="O56" s="12">
        <f t="shared" si="20"/>
        <v>0</v>
      </c>
      <c r="Q56" s="684">
        <v>8</v>
      </c>
      <c r="R56" s="836">
        <f>L14</f>
        <v>0</v>
      </c>
      <c r="S56" s="3"/>
      <c r="T56" s="838">
        <f t="shared" si="24"/>
        <v>0</v>
      </c>
      <c r="U56" s="1001">
        <f t="shared" si="21"/>
        <v>0.7</v>
      </c>
      <c r="V56" s="1009">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684">
        <v>9</v>
      </c>
      <c r="C57" s="3"/>
      <c r="D57" s="3"/>
      <c r="E57" s="838">
        <f t="shared" si="25"/>
        <v>0</v>
      </c>
      <c r="F57" s="839">
        <f>0.7*(温度条件他根拠!$E$7-温度条件他根拠!$E$9)/(温度条件他根拠!$E$7-27.2)</f>
        <v>0.58085106382978702</v>
      </c>
      <c r="G57" s="838">
        <v>0</v>
      </c>
      <c r="H57" s="7">
        <f t="shared" si="17"/>
        <v>0</v>
      </c>
      <c r="I57" s="7">
        <f t="shared" si="18"/>
        <v>0</v>
      </c>
      <c r="J57" s="2">
        <f t="shared" si="26"/>
        <v>3.55</v>
      </c>
      <c r="K57" s="6">
        <f t="shared" si="26"/>
        <v>3.95</v>
      </c>
      <c r="L57" s="7">
        <f t="shared" si="13"/>
        <v>0</v>
      </c>
      <c r="M57" s="7">
        <f t="shared" si="13"/>
        <v>0</v>
      </c>
      <c r="N57" s="13">
        <f t="shared" si="19"/>
        <v>0</v>
      </c>
      <c r="O57" s="12">
        <f t="shared" si="20"/>
        <v>0</v>
      </c>
      <c r="Q57" s="684">
        <v>9</v>
      </c>
      <c r="R57" s="3"/>
      <c r="S57" s="3"/>
      <c r="T57" s="838">
        <f t="shared" si="24"/>
        <v>0</v>
      </c>
      <c r="U57" s="1001">
        <f t="shared" si="21"/>
        <v>0.58085106382978702</v>
      </c>
      <c r="V57" s="1009">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684">
        <v>10</v>
      </c>
      <c r="C58" s="3"/>
      <c r="D58" s="3"/>
      <c r="E58" s="838">
        <f t="shared" si="25"/>
        <v>0</v>
      </c>
      <c r="F58" s="839">
        <f>0.175*(温度条件他根拠!$E$7-温度条件他根拠!$E$9)/(温度条件他根拠!$E$7-21.7)</f>
        <v>6.6911764705882323E-2</v>
      </c>
      <c r="G58" s="839">
        <f>0.2*(温度条件他根拠!$E$10-13)/(温度条件他根拠!$E$10-温度条件他根拠!$E$8)</f>
        <v>6.7632850241545903E-2</v>
      </c>
      <c r="H58" s="836">
        <f>$C$56*E58*F58/1000</f>
        <v>0</v>
      </c>
      <c r="I58" s="836">
        <f>G58*E58*$D$49/1000</f>
        <v>0</v>
      </c>
      <c r="J58" s="2">
        <f t="shared" si="26"/>
        <v>3.55</v>
      </c>
      <c r="K58" s="6">
        <f t="shared" si="26"/>
        <v>3.95</v>
      </c>
      <c r="L58" s="7">
        <f t="shared" si="13"/>
        <v>0</v>
      </c>
      <c r="M58" s="7">
        <f t="shared" si="13"/>
        <v>0</v>
      </c>
      <c r="N58" s="13">
        <f t="shared" si="19"/>
        <v>0</v>
      </c>
      <c r="O58" s="12">
        <f t="shared" si="20"/>
        <v>0</v>
      </c>
      <c r="Q58" s="684">
        <v>10</v>
      </c>
      <c r="R58" s="3"/>
      <c r="S58" s="3"/>
      <c r="T58" s="838">
        <f t="shared" si="24"/>
        <v>0</v>
      </c>
      <c r="U58" s="1001">
        <f t="shared" si="21"/>
        <v>6.6911764705882323E-2</v>
      </c>
      <c r="V58" s="1001">
        <f t="shared" si="21"/>
        <v>6.7632850241545903E-2</v>
      </c>
      <c r="W58" s="836">
        <f>($R$56*T58*U58/1000)</f>
        <v>0</v>
      </c>
      <c r="X58" s="836">
        <f>(V58*T58*$S$49/1000)</f>
        <v>0</v>
      </c>
      <c r="Y58" s="2">
        <f t="shared" si="27"/>
        <v>3.55</v>
      </c>
      <c r="Z58" s="6">
        <f t="shared" si="27"/>
        <v>3.95</v>
      </c>
      <c r="AA58" s="7">
        <f t="shared" si="16"/>
        <v>0</v>
      </c>
      <c r="AB58" s="7">
        <f t="shared" si="16"/>
        <v>0</v>
      </c>
      <c r="AC58" s="13">
        <f t="shared" si="22"/>
        <v>0</v>
      </c>
      <c r="AD58" s="12">
        <f t="shared" si="23"/>
        <v>0</v>
      </c>
    </row>
    <row r="59" spans="2:30">
      <c r="B59" s="684">
        <v>11</v>
      </c>
      <c r="C59" s="3"/>
      <c r="D59" s="3"/>
      <c r="E59" s="838">
        <f t="shared" si="25"/>
        <v>0</v>
      </c>
      <c r="F59" s="838">
        <v>0</v>
      </c>
      <c r="G59" s="839">
        <f>0.8*(温度条件他根拠!$E$10-6.7)/(温度条件他根拠!$E$10-温度条件他根拠!$E$8)</f>
        <v>0.51400966183574881</v>
      </c>
      <c r="H59" s="7">
        <f t="shared" si="17"/>
        <v>0</v>
      </c>
      <c r="I59" s="7">
        <f t="shared" si="18"/>
        <v>0</v>
      </c>
      <c r="J59" s="2">
        <f t="shared" si="26"/>
        <v>3.55</v>
      </c>
      <c r="K59" s="6">
        <f t="shared" si="26"/>
        <v>3.95</v>
      </c>
      <c r="L59" s="7">
        <f t="shared" si="13"/>
        <v>0</v>
      </c>
      <c r="M59" s="7">
        <f t="shared" si="13"/>
        <v>0</v>
      </c>
      <c r="N59" s="13">
        <f t="shared" si="19"/>
        <v>0</v>
      </c>
      <c r="O59" s="12">
        <f t="shared" si="20"/>
        <v>0</v>
      </c>
      <c r="Q59" s="684">
        <v>11</v>
      </c>
      <c r="R59" s="3"/>
      <c r="S59" s="3"/>
      <c r="T59" s="838">
        <f t="shared" si="24"/>
        <v>0</v>
      </c>
      <c r="U59" s="838">
        <f t="shared" si="21"/>
        <v>0</v>
      </c>
      <c r="V59" s="1001">
        <f t="shared" si="21"/>
        <v>0.51400966183574881</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684">
        <v>12</v>
      </c>
      <c r="C60" s="3"/>
      <c r="D60" s="3"/>
      <c r="E60" s="838">
        <f t="shared" si="25"/>
        <v>0</v>
      </c>
      <c r="F60" s="838">
        <v>0</v>
      </c>
      <c r="G60" s="839">
        <f>0.8*(温度条件他根拠!$E$10-1.6)/(温度条件他根拠!$E$10-温度条件他根拠!$E$8)</f>
        <v>0.71111111111111103</v>
      </c>
      <c r="H60" s="7">
        <f t="shared" si="17"/>
        <v>0</v>
      </c>
      <c r="I60" s="7">
        <f t="shared" si="18"/>
        <v>0</v>
      </c>
      <c r="J60" s="2">
        <f t="shared" si="26"/>
        <v>3.55</v>
      </c>
      <c r="K60" s="6">
        <f t="shared" si="26"/>
        <v>3.95</v>
      </c>
      <c r="L60" s="7">
        <f t="shared" si="13"/>
        <v>0</v>
      </c>
      <c r="M60" s="7">
        <f t="shared" si="13"/>
        <v>0</v>
      </c>
      <c r="N60" s="13">
        <f t="shared" si="19"/>
        <v>0</v>
      </c>
      <c r="O60" s="12">
        <f t="shared" si="20"/>
        <v>0</v>
      </c>
      <c r="Q60" s="684">
        <v>12</v>
      </c>
      <c r="R60" s="3"/>
      <c r="S60" s="3"/>
      <c r="T60" s="838">
        <f t="shared" si="24"/>
        <v>0</v>
      </c>
      <c r="U60" s="838">
        <f t="shared" si="21"/>
        <v>0</v>
      </c>
      <c r="V60" s="1001">
        <f t="shared" si="21"/>
        <v>0.71111111111111103</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6" spans="2:3">
      <c r="B86" s="1" t="s">
        <v>1079</v>
      </c>
    </row>
    <row r="87" spans="2:3">
      <c r="B87" s="691">
        <v>43927</v>
      </c>
      <c r="C87" s="900" t="s">
        <v>865</v>
      </c>
    </row>
    <row r="88" spans="2:3">
      <c r="B88" s="691">
        <v>43927</v>
      </c>
      <c r="C88" s="690" t="s">
        <v>866</v>
      </c>
    </row>
    <row r="89" spans="2:3">
      <c r="B89" s="691">
        <v>44634</v>
      </c>
      <c r="C89" s="690" t="s">
        <v>1119</v>
      </c>
    </row>
    <row r="90" spans="2:3">
      <c r="C90" s="690" t="s">
        <v>1120</v>
      </c>
    </row>
    <row r="91" spans="2:3">
      <c r="C91" s="1" t="s">
        <v>1121</v>
      </c>
    </row>
    <row r="92" spans="2:3">
      <c r="C92" s="1" t="s">
        <v>1133</v>
      </c>
    </row>
    <row r="93" spans="2:3">
      <c r="C93" s="1" t="s">
        <v>1134</v>
      </c>
    </row>
  </sheetData>
  <mergeCells count="21">
    <mergeCell ref="P16:P23"/>
    <mergeCell ref="B15:B23"/>
    <mergeCell ref="B24:B33"/>
    <mergeCell ref="D33:F33"/>
    <mergeCell ref="B2:O2"/>
    <mergeCell ref="J3:J5"/>
    <mergeCell ref="K3:K5"/>
    <mergeCell ref="L3:L5"/>
    <mergeCell ref="N3:N5"/>
    <mergeCell ref="O3:O5"/>
    <mergeCell ref="P3:P5"/>
    <mergeCell ref="J16:J22"/>
    <mergeCell ref="K16:K23"/>
    <mergeCell ref="L16:L23"/>
    <mergeCell ref="N16:N22"/>
    <mergeCell ref="O16:O23"/>
    <mergeCell ref="B45:O45"/>
    <mergeCell ref="B4:C5"/>
    <mergeCell ref="D4:F4"/>
    <mergeCell ref="G4:G5"/>
    <mergeCell ref="B6:B14"/>
  </mergeCells>
  <phoneticPr fontId="2"/>
  <pageMargins left="0" right="0" top="0.55118110236220474" bottom="0.15748031496062992" header="0.11811023622047245" footer="0"/>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B1:AD93"/>
  <sheetViews>
    <sheetView workbookViewId="0">
      <selection activeCell="H9" sqref="H9"/>
    </sheetView>
  </sheetViews>
  <sheetFormatPr defaultColWidth="9" defaultRowHeight="13"/>
  <cols>
    <col min="1" max="1" width="2.453125" style="1" customWidth="1"/>
    <col min="2" max="7" width="9" style="1"/>
    <col min="8" max="8" width="9.90625" style="1" customWidth="1"/>
    <col min="9" max="9" width="10.26953125" style="1" bestFit="1" customWidth="1"/>
    <col min="10" max="13" width="9" style="1"/>
    <col min="14" max="14" width="10.90625" style="1" customWidth="1"/>
    <col min="15" max="15" width="9.6328125" style="1" customWidth="1"/>
    <col min="16" max="16384" width="9" style="1"/>
  </cols>
  <sheetData>
    <row r="1" spans="2:16">
      <c r="B1" s="155">
        <f>温度条件他根拠!E6</f>
        <v>2</v>
      </c>
      <c r="C1" s="705" t="str">
        <f ca="1">RIGHT(CELL("filename",C1),LEN(CELL("filename",C1))-FIND("]",CELL("filename",C1)))</f>
        <v>熊谷市窓断熱</v>
      </c>
      <c r="D1" s="81"/>
      <c r="E1" s="81"/>
      <c r="F1" s="81"/>
      <c r="G1" s="81"/>
      <c r="H1" s="81"/>
      <c r="I1" s="81"/>
      <c r="J1" s="81"/>
      <c r="K1" s="81"/>
      <c r="L1" s="81"/>
      <c r="M1" s="81"/>
      <c r="N1" s="81"/>
      <c r="O1" s="81"/>
    </row>
    <row r="2" spans="2:16" ht="13.5" thickBot="1">
      <c r="B2" s="2080"/>
      <c r="C2" s="2080"/>
      <c r="D2" s="2080"/>
      <c r="E2" s="2080"/>
      <c r="F2" s="2080"/>
      <c r="G2" s="2080"/>
      <c r="H2" s="2080"/>
      <c r="I2" s="2080"/>
      <c r="J2" s="2080"/>
      <c r="K2" s="2080"/>
      <c r="L2" s="2080"/>
      <c r="M2" s="2080"/>
      <c r="N2" s="2080"/>
      <c r="O2" s="2080"/>
    </row>
    <row r="3" spans="2:16" ht="13.5" thickBot="1">
      <c r="B3" s="840" t="s">
        <v>1093</v>
      </c>
      <c r="C3" s="890"/>
      <c r="D3" s="841"/>
      <c r="E3" s="841"/>
      <c r="F3" s="841"/>
      <c r="G3" s="841"/>
      <c r="H3" s="1010"/>
      <c r="I3" s="1010"/>
      <c r="J3" s="2096" t="str">
        <f>J16</f>
        <v>D
時間帯合計値の最大値の方位別冷房負荷（計算採用値）</v>
      </c>
      <c r="K3" s="2099" t="str">
        <f>K16</f>
        <v>E
操業時間
(h/日)</v>
      </c>
      <c r="L3" s="2102" t="str">
        <f>L16</f>
        <v>①
＝ΣD×E
方位別
日冷房
負荷
削減量
（W・h/日）</v>
      </c>
      <c r="M3" s="897"/>
      <c r="N3" s="2096" t="str">
        <f>N16</f>
        <v>F
時間帯合計値の最大値の方位別暖房負荷（計算採用値）</v>
      </c>
      <c r="O3" s="2099" t="str">
        <f>O16</f>
        <v>E
操業時間
(h/日)</v>
      </c>
      <c r="P3" s="2102" t="str">
        <f>P16</f>
        <v>②
＝ΣF×E
方位別
日暖房
負荷
削減量
（W・h/日）</v>
      </c>
    </row>
    <row r="4" spans="2:16">
      <c r="B4" s="2088" t="s">
        <v>1094</v>
      </c>
      <c r="C4" s="2089"/>
      <c r="D4" s="2089" t="s">
        <v>1095</v>
      </c>
      <c r="E4" s="2089"/>
      <c r="F4" s="2089"/>
      <c r="G4" s="2092" t="s">
        <v>1122</v>
      </c>
      <c r="H4" s="894"/>
      <c r="I4" s="894"/>
      <c r="J4" s="2097"/>
      <c r="K4" s="2100"/>
      <c r="L4" s="2103"/>
      <c r="M4" s="896"/>
      <c r="N4" s="2097"/>
      <c r="O4" s="2100"/>
      <c r="P4" s="2103"/>
    </row>
    <row r="5" spans="2:16" ht="13.5" thickBot="1">
      <c r="B5" s="2090"/>
      <c r="C5" s="2091"/>
      <c r="D5" s="842" t="s">
        <v>1098</v>
      </c>
      <c r="E5" s="842" t="s">
        <v>1099</v>
      </c>
      <c r="F5" s="842" t="s">
        <v>1100</v>
      </c>
      <c r="G5" s="2093"/>
      <c r="H5" s="894"/>
      <c r="I5" s="894"/>
      <c r="J5" s="2098"/>
      <c r="K5" s="2101"/>
      <c r="L5" s="2104"/>
      <c r="M5" s="896"/>
      <c r="N5" s="2098"/>
      <c r="O5" s="2101"/>
      <c r="P5" s="2104"/>
    </row>
    <row r="6" spans="2:16">
      <c r="B6" s="2094" t="s">
        <v>1123</v>
      </c>
      <c r="C6" s="881" t="s">
        <v>1395</v>
      </c>
      <c r="D6" s="882">
        <f>結果!H40+結果!H54</f>
        <v>0</v>
      </c>
      <c r="E6" s="882">
        <f>結果!J40+結果!J54</f>
        <v>0</v>
      </c>
      <c r="F6" s="882">
        <f>結果!L40+結果!L54</f>
        <v>0</v>
      </c>
      <c r="G6" s="883">
        <f>結果!Q40</f>
        <v>0</v>
      </c>
      <c r="H6" s="894"/>
      <c r="I6" s="894"/>
      <c r="J6" s="857">
        <f>IF(D32&gt;=D33,D6,IF(E32&gt;=D33,E6,F6))</f>
        <v>0</v>
      </c>
      <c r="K6" s="857">
        <f>K24</f>
        <v>0</v>
      </c>
      <c r="L6" s="859">
        <f>K6*J6</f>
        <v>0</v>
      </c>
      <c r="M6" s="896"/>
      <c r="N6" s="860">
        <f>G6</f>
        <v>0</v>
      </c>
      <c r="O6" s="858">
        <f>K6</f>
        <v>0</v>
      </c>
      <c r="P6" s="859">
        <f>O6*N6</f>
        <v>0</v>
      </c>
    </row>
    <row r="7" spans="2:16">
      <c r="B7" s="2077"/>
      <c r="C7" s="877" t="s">
        <v>1396</v>
      </c>
      <c r="D7" s="882">
        <f>結果!H41+結果!H55</f>
        <v>0</v>
      </c>
      <c r="E7" s="882">
        <f>結果!J41+結果!J55</f>
        <v>0</v>
      </c>
      <c r="F7" s="882">
        <f>結果!L41+結果!L55</f>
        <v>0</v>
      </c>
      <c r="G7" s="879">
        <f>結果!Q41</f>
        <v>0</v>
      </c>
      <c r="H7" s="894"/>
      <c r="I7" s="894"/>
      <c r="J7" s="862">
        <f>IF(D32&gt;=D33,D7,IF(E32&gt;=D33,E7,F7))</f>
        <v>0</v>
      </c>
      <c r="K7" s="862">
        <f>K25</f>
        <v>0</v>
      </c>
      <c r="L7" s="864">
        <f t="shared" ref="L7:L13" si="0">K7*J7</f>
        <v>0</v>
      </c>
      <c r="M7" s="896"/>
      <c r="N7" s="865">
        <f>G7</f>
        <v>0</v>
      </c>
      <c r="O7" s="863">
        <f>K7</f>
        <v>0</v>
      </c>
      <c r="P7" s="864">
        <f t="shared" ref="P7:P13" si="1">O7*N7</f>
        <v>0</v>
      </c>
    </row>
    <row r="8" spans="2:16">
      <c r="B8" s="2077"/>
      <c r="C8" s="877" t="s">
        <v>1397</v>
      </c>
      <c r="D8" s="882">
        <f>結果!H42+結果!H56</f>
        <v>0</v>
      </c>
      <c r="E8" s="882">
        <f>結果!J42+結果!J56</f>
        <v>0</v>
      </c>
      <c r="F8" s="882">
        <f>結果!L42+結果!L56</f>
        <v>0</v>
      </c>
      <c r="G8" s="879">
        <f>結果!Q42</f>
        <v>0</v>
      </c>
      <c r="H8" s="894"/>
      <c r="I8" s="894"/>
      <c r="J8" s="862">
        <f>IF(D32&gt;=D33,D8,IF(E32&gt;=D33,E8,F8))</f>
        <v>0</v>
      </c>
      <c r="K8" s="862">
        <f t="shared" ref="K8:K13" si="2">K26</f>
        <v>0</v>
      </c>
      <c r="L8" s="864">
        <f t="shared" si="0"/>
        <v>0</v>
      </c>
      <c r="M8" s="896"/>
      <c r="N8" s="865">
        <f t="shared" ref="N8:N12" si="3">G8</f>
        <v>0</v>
      </c>
      <c r="O8" s="863">
        <f t="shared" ref="O8:O13" si="4">K8</f>
        <v>0</v>
      </c>
      <c r="P8" s="864">
        <f t="shared" si="1"/>
        <v>0</v>
      </c>
    </row>
    <row r="9" spans="2:16">
      <c r="B9" s="2077"/>
      <c r="C9" s="877" t="s">
        <v>1398</v>
      </c>
      <c r="D9" s="882">
        <f>結果!H43+結果!H57</f>
        <v>0</v>
      </c>
      <c r="E9" s="882">
        <f>結果!J43+結果!J57</f>
        <v>0</v>
      </c>
      <c r="F9" s="882">
        <f>結果!L43+結果!L57</f>
        <v>0</v>
      </c>
      <c r="G9" s="879">
        <f>結果!Q43</f>
        <v>0</v>
      </c>
      <c r="H9" s="894"/>
      <c r="I9" s="894"/>
      <c r="J9" s="862">
        <f>IF(D32&gt;=D33,D9,IF(E32&gt;=D33,E9,F9))</f>
        <v>0</v>
      </c>
      <c r="K9" s="862">
        <f t="shared" si="2"/>
        <v>0</v>
      </c>
      <c r="L9" s="864">
        <f t="shared" si="0"/>
        <v>0</v>
      </c>
      <c r="M9" s="896"/>
      <c r="N9" s="865">
        <f t="shared" si="3"/>
        <v>0</v>
      </c>
      <c r="O9" s="863">
        <f t="shared" si="4"/>
        <v>0</v>
      </c>
      <c r="P9" s="864">
        <f t="shared" si="1"/>
        <v>0</v>
      </c>
    </row>
    <row r="10" spans="2:16">
      <c r="B10" s="2077"/>
      <c r="C10" s="877" t="s">
        <v>1399</v>
      </c>
      <c r="D10" s="882">
        <f>結果!H44+結果!H58</f>
        <v>0</v>
      </c>
      <c r="E10" s="882">
        <f>結果!J44+結果!J58</f>
        <v>0</v>
      </c>
      <c r="F10" s="882">
        <f>結果!L44+結果!L58</f>
        <v>0</v>
      </c>
      <c r="G10" s="879">
        <f>結果!Q44</f>
        <v>0</v>
      </c>
      <c r="H10" s="894"/>
      <c r="I10" s="894"/>
      <c r="J10" s="862">
        <f>IF(D32&gt;=D33,D10,IF(E32&gt;=D33,E10,F10))</f>
        <v>0</v>
      </c>
      <c r="K10" s="862">
        <f t="shared" si="2"/>
        <v>0</v>
      </c>
      <c r="L10" s="864">
        <f t="shared" si="0"/>
        <v>0</v>
      </c>
      <c r="M10" s="896"/>
      <c r="N10" s="865">
        <f t="shared" si="3"/>
        <v>0</v>
      </c>
      <c r="O10" s="862">
        <f t="shared" si="4"/>
        <v>0</v>
      </c>
      <c r="P10" s="864">
        <f t="shared" si="1"/>
        <v>0</v>
      </c>
    </row>
    <row r="11" spans="2:16">
      <c r="B11" s="2077"/>
      <c r="C11" s="877" t="s">
        <v>1400</v>
      </c>
      <c r="D11" s="882">
        <f>結果!H45+結果!H59</f>
        <v>0</v>
      </c>
      <c r="E11" s="882">
        <f>結果!J45+結果!J59</f>
        <v>0</v>
      </c>
      <c r="F11" s="882">
        <f>結果!L45+結果!L59</f>
        <v>0</v>
      </c>
      <c r="G11" s="879">
        <f>結果!Q45</f>
        <v>0</v>
      </c>
      <c r="H11" s="894"/>
      <c r="I11" s="894"/>
      <c r="J11" s="862">
        <f>IF(D32&gt;=D33,D11,IF(E32&gt;=D33,E11,F11))</f>
        <v>0</v>
      </c>
      <c r="K11" s="862">
        <f t="shared" si="2"/>
        <v>0</v>
      </c>
      <c r="L11" s="864">
        <f t="shared" si="0"/>
        <v>0</v>
      </c>
      <c r="M11" s="896"/>
      <c r="N11" s="865">
        <f t="shared" si="3"/>
        <v>0</v>
      </c>
      <c r="O11" s="863">
        <f t="shared" si="4"/>
        <v>0</v>
      </c>
      <c r="P11" s="864">
        <f t="shared" si="1"/>
        <v>0</v>
      </c>
    </row>
    <row r="12" spans="2:16">
      <c r="B12" s="2077"/>
      <c r="C12" s="877" t="s">
        <v>1401</v>
      </c>
      <c r="D12" s="882">
        <f>結果!H46+結果!H60</f>
        <v>0</v>
      </c>
      <c r="E12" s="882">
        <f>結果!J46+結果!J60</f>
        <v>0</v>
      </c>
      <c r="F12" s="882">
        <f>結果!L46+結果!L60</f>
        <v>0</v>
      </c>
      <c r="G12" s="879">
        <f>結果!Q46</f>
        <v>0</v>
      </c>
      <c r="H12" s="894"/>
      <c r="I12" s="894"/>
      <c r="J12" s="862">
        <f>IF(D32&gt;=D33,D12,IF(E32&gt;=D33,E12,F12))</f>
        <v>0</v>
      </c>
      <c r="K12" s="862">
        <f t="shared" si="2"/>
        <v>0</v>
      </c>
      <c r="L12" s="864">
        <f t="shared" si="0"/>
        <v>0</v>
      </c>
      <c r="M12" s="896"/>
      <c r="N12" s="865">
        <f t="shared" si="3"/>
        <v>0</v>
      </c>
      <c r="O12" s="863">
        <f t="shared" si="4"/>
        <v>0</v>
      </c>
      <c r="P12" s="864">
        <f t="shared" si="1"/>
        <v>0</v>
      </c>
    </row>
    <row r="13" spans="2:16" ht="13.5" thickBot="1">
      <c r="B13" s="2077"/>
      <c r="C13" s="878" t="s">
        <v>1402</v>
      </c>
      <c r="D13" s="882">
        <f>結果!H47+結果!H61</f>
        <v>0</v>
      </c>
      <c r="E13" s="882">
        <f>結果!J47+結果!J61</f>
        <v>0</v>
      </c>
      <c r="F13" s="882">
        <f>結果!L47+結果!L61</f>
        <v>0</v>
      </c>
      <c r="G13" s="879">
        <f>結果!Q47</f>
        <v>0</v>
      </c>
      <c r="H13" s="894"/>
      <c r="I13" s="894"/>
      <c r="J13" s="868">
        <f>IF(D32&gt;=D33,D13,IF(E32&gt;=D33,E13,F13))</f>
        <v>0</v>
      </c>
      <c r="K13" s="862">
        <f t="shared" si="2"/>
        <v>0</v>
      </c>
      <c r="L13" s="870">
        <f t="shared" si="0"/>
        <v>0</v>
      </c>
      <c r="M13" s="896"/>
      <c r="N13" s="865">
        <f>G13</f>
        <v>0</v>
      </c>
      <c r="O13" s="863">
        <f t="shared" si="4"/>
        <v>0</v>
      </c>
      <c r="P13" s="870">
        <f t="shared" si="1"/>
        <v>0</v>
      </c>
    </row>
    <row r="14" spans="2:16" ht="13.5" customHeight="1" thickBot="1">
      <c r="B14" s="2095"/>
      <c r="C14" s="852" t="s">
        <v>1124</v>
      </c>
      <c r="D14" s="853">
        <f>SUM(D6:D13)</f>
        <v>0</v>
      </c>
      <c r="E14" s="853">
        <f t="shared" ref="E14:G14" si="5">SUM(E6:E13)</f>
        <v>0</v>
      </c>
      <c r="F14" s="853">
        <f t="shared" si="5"/>
        <v>0</v>
      </c>
      <c r="G14" s="854">
        <f t="shared" si="5"/>
        <v>0</v>
      </c>
      <c r="H14" s="894"/>
      <c r="I14" s="894"/>
      <c r="J14" s="874">
        <f>SUM(J6:J13)</f>
        <v>0</v>
      </c>
      <c r="K14" s="875"/>
      <c r="L14" s="876">
        <f>SUM(L6:L13)</f>
        <v>0</v>
      </c>
      <c r="M14" s="896"/>
      <c r="N14" s="874">
        <f>SUM(N6:N13)</f>
        <v>0</v>
      </c>
      <c r="O14" s="875"/>
      <c r="P14" s="876">
        <f>SUM(P6:P13)</f>
        <v>0</v>
      </c>
    </row>
    <row r="15" spans="2:16" ht="13.5" thickBot="1">
      <c r="B15" s="2088" t="s">
        <v>1128</v>
      </c>
      <c r="C15" s="898" t="str">
        <f>C6</f>
        <v>北</v>
      </c>
      <c r="D15" s="882">
        <f>結果!H80+結果!H94</f>
        <v>0</v>
      </c>
      <c r="E15" s="882">
        <f>結果!J80+結果!J94</f>
        <v>0</v>
      </c>
      <c r="F15" s="882">
        <f>結果!L80+結果!L94</f>
        <v>0</v>
      </c>
      <c r="G15" s="899">
        <f>結果!Q80</f>
        <v>0</v>
      </c>
      <c r="H15" s="1010"/>
      <c r="I15" s="1010"/>
      <c r="J15" s="894"/>
      <c r="K15" s="894"/>
      <c r="L15" s="894"/>
      <c r="M15" s="896"/>
      <c r="N15" s="896"/>
      <c r="O15" s="896"/>
      <c r="P15" s="897"/>
    </row>
    <row r="16" spans="2:16">
      <c r="B16" s="2077"/>
      <c r="C16" s="846" t="str">
        <f t="shared" ref="C16:C32" si="6">C7</f>
        <v>北東</v>
      </c>
      <c r="D16" s="847">
        <f>結果!H81+結果!H95</f>
        <v>0</v>
      </c>
      <c r="E16" s="847">
        <f>結果!J81+結果!J95</f>
        <v>0</v>
      </c>
      <c r="F16" s="847">
        <f>結果!L81+結果!L95</f>
        <v>0</v>
      </c>
      <c r="G16" s="848">
        <f>結果!Q81</f>
        <v>0</v>
      </c>
      <c r="H16" s="1010"/>
      <c r="I16" s="1010"/>
      <c r="J16" s="2084" t="s">
        <v>1125</v>
      </c>
      <c r="K16" s="2084" t="s">
        <v>1140</v>
      </c>
      <c r="L16" s="2084" t="s">
        <v>1126</v>
      </c>
      <c r="M16" s="896"/>
      <c r="N16" s="2084" t="s">
        <v>1127</v>
      </c>
      <c r="O16" s="2084" t="s">
        <v>1140</v>
      </c>
      <c r="P16" s="2084" t="s">
        <v>1390</v>
      </c>
    </row>
    <row r="17" spans="2:16">
      <c r="B17" s="2077"/>
      <c r="C17" s="846" t="str">
        <f t="shared" si="6"/>
        <v>東</v>
      </c>
      <c r="D17" s="847">
        <f>結果!H82+結果!H96</f>
        <v>0</v>
      </c>
      <c r="E17" s="847">
        <f>結果!J82+結果!J96</f>
        <v>0</v>
      </c>
      <c r="F17" s="847">
        <f>結果!L82+結果!L96</f>
        <v>0</v>
      </c>
      <c r="G17" s="848">
        <f>結果!Q82</f>
        <v>0</v>
      </c>
      <c r="H17" s="1010"/>
      <c r="I17" s="1010"/>
      <c r="J17" s="2085"/>
      <c r="K17" s="2085"/>
      <c r="L17" s="2085"/>
      <c r="M17" s="896"/>
      <c r="N17" s="2085"/>
      <c r="O17" s="2085"/>
      <c r="P17" s="2085"/>
    </row>
    <row r="18" spans="2:16">
      <c r="B18" s="2077"/>
      <c r="C18" s="846" t="str">
        <f t="shared" si="6"/>
        <v>南東</v>
      </c>
      <c r="D18" s="847">
        <f>結果!H83+結果!H97</f>
        <v>0</v>
      </c>
      <c r="E18" s="847">
        <f>結果!J83+結果!J97</f>
        <v>0</v>
      </c>
      <c r="F18" s="847">
        <f>結果!L83+結果!L97</f>
        <v>0</v>
      </c>
      <c r="G18" s="848">
        <f>結果!Q83</f>
        <v>0</v>
      </c>
      <c r="H18" s="1010"/>
      <c r="I18" s="1010"/>
      <c r="J18" s="2085"/>
      <c r="K18" s="2085"/>
      <c r="L18" s="2085"/>
      <c r="M18" s="896"/>
      <c r="N18" s="2085"/>
      <c r="O18" s="2085"/>
      <c r="P18" s="2085"/>
    </row>
    <row r="19" spans="2:16">
      <c r="B19" s="2077"/>
      <c r="C19" s="846" t="str">
        <f t="shared" si="6"/>
        <v>南</v>
      </c>
      <c r="D19" s="847">
        <f>結果!H84+結果!H98</f>
        <v>0</v>
      </c>
      <c r="E19" s="847">
        <f>結果!J84+結果!J98</f>
        <v>0</v>
      </c>
      <c r="F19" s="847">
        <f>結果!L84+結果!L98</f>
        <v>0</v>
      </c>
      <c r="G19" s="848">
        <f>結果!Q84</f>
        <v>0</v>
      </c>
      <c r="H19" s="1010"/>
      <c r="I19" s="1010"/>
      <c r="J19" s="2085"/>
      <c r="K19" s="2085"/>
      <c r="L19" s="2085"/>
      <c r="M19" s="896"/>
      <c r="N19" s="2085"/>
      <c r="O19" s="2085"/>
      <c r="P19" s="2085"/>
    </row>
    <row r="20" spans="2:16">
      <c r="B20" s="2077"/>
      <c r="C20" s="846" t="str">
        <f t="shared" si="6"/>
        <v>南西</v>
      </c>
      <c r="D20" s="847">
        <f>結果!H85+結果!H99</f>
        <v>0</v>
      </c>
      <c r="E20" s="847">
        <f>結果!J85+結果!J99</f>
        <v>0</v>
      </c>
      <c r="F20" s="847">
        <f>結果!L85+結果!L99</f>
        <v>0</v>
      </c>
      <c r="G20" s="848">
        <f>結果!Q85</f>
        <v>0</v>
      </c>
      <c r="H20" s="1010"/>
      <c r="I20" s="1010"/>
      <c r="J20" s="2085"/>
      <c r="K20" s="2085"/>
      <c r="L20" s="2085"/>
      <c r="M20" s="896"/>
      <c r="N20" s="2085"/>
      <c r="O20" s="2085"/>
      <c r="P20" s="2085"/>
    </row>
    <row r="21" spans="2:16">
      <c r="B21" s="2077"/>
      <c r="C21" s="846" t="str">
        <f t="shared" si="6"/>
        <v>西</v>
      </c>
      <c r="D21" s="847">
        <f>結果!H86+結果!H100</f>
        <v>0</v>
      </c>
      <c r="E21" s="847">
        <f>結果!J86+結果!J100</f>
        <v>0</v>
      </c>
      <c r="F21" s="847">
        <f>結果!L86+結果!L100</f>
        <v>0</v>
      </c>
      <c r="G21" s="848">
        <f>結果!Q86</f>
        <v>0</v>
      </c>
      <c r="H21" s="1010"/>
      <c r="I21" s="1010"/>
      <c r="J21" s="2085"/>
      <c r="K21" s="2085"/>
      <c r="L21" s="2085"/>
      <c r="M21" s="896"/>
      <c r="N21" s="2085"/>
      <c r="O21" s="2085"/>
      <c r="P21" s="2085"/>
    </row>
    <row r="22" spans="2:16" ht="13.5" thickBot="1">
      <c r="B22" s="2077"/>
      <c r="C22" s="849" t="str">
        <f t="shared" si="6"/>
        <v>北西</v>
      </c>
      <c r="D22" s="850">
        <f>結果!H87+結果!H101</f>
        <v>0</v>
      </c>
      <c r="E22" s="850">
        <f>結果!J87+結果!J101</f>
        <v>0</v>
      </c>
      <c r="F22" s="850">
        <f>結果!L87+結果!L101</f>
        <v>0</v>
      </c>
      <c r="G22" s="851">
        <f>結果!Q87</f>
        <v>0</v>
      </c>
      <c r="H22" s="1010"/>
      <c r="I22" s="1010"/>
      <c r="J22" s="2086"/>
      <c r="K22" s="2085"/>
      <c r="L22" s="2085"/>
      <c r="M22" s="896"/>
      <c r="N22" s="2085"/>
      <c r="O22" s="2085"/>
      <c r="P22" s="2085"/>
    </row>
    <row r="23" spans="2:16" ht="13.5" thickBot="1">
      <c r="B23" s="2079"/>
      <c r="C23" s="852" t="str">
        <f t="shared" si="6"/>
        <v>合計</v>
      </c>
      <c r="D23" s="853">
        <f>SUM(D15:D22)</f>
        <v>0</v>
      </c>
      <c r="E23" s="853">
        <f t="shared" ref="E23:G23" si="7">SUM(E15:E22)</f>
        <v>0</v>
      </c>
      <c r="F23" s="853">
        <f t="shared" si="7"/>
        <v>0</v>
      </c>
      <c r="G23" s="854">
        <f t="shared" si="7"/>
        <v>0</v>
      </c>
      <c r="H23" s="1010"/>
      <c r="I23" s="1010"/>
      <c r="J23" s="855" t="str">
        <f>IF(D32&gt;=D33,"９時",IF(E32&gt;=D33,"１２時","１５時"))</f>
        <v>９時</v>
      </c>
      <c r="K23" s="2087"/>
      <c r="L23" s="2087"/>
      <c r="M23" s="896"/>
      <c r="N23" s="999"/>
      <c r="O23" s="2087"/>
      <c r="P23" s="2087"/>
    </row>
    <row r="24" spans="2:16">
      <c r="B24" s="2076" t="s">
        <v>1129</v>
      </c>
      <c r="C24" s="856" t="str">
        <f>C15</f>
        <v>北</v>
      </c>
      <c r="D24" s="844">
        <f>D6-D15</f>
        <v>0</v>
      </c>
      <c r="E24" s="844">
        <f t="shared" ref="E24:G24" si="8">E6-E15</f>
        <v>0</v>
      </c>
      <c r="F24" s="844">
        <f t="shared" si="8"/>
        <v>0</v>
      </c>
      <c r="G24" s="845">
        <f t="shared" si="8"/>
        <v>0</v>
      </c>
      <c r="H24" s="1010"/>
      <c r="I24" s="1010"/>
      <c r="J24" s="857">
        <f>IF(D32&gt;=D33,D24,IF(E32&gt;=D33,E24,F24))</f>
        <v>0</v>
      </c>
      <c r="K24" s="901">
        <f>温度条件他根拠!E29</f>
        <v>0</v>
      </c>
      <c r="L24" s="859">
        <f>K24*J24</f>
        <v>0</v>
      </c>
      <c r="M24" s="896"/>
      <c r="N24" s="860">
        <f>G24</f>
        <v>0</v>
      </c>
      <c r="O24" s="858">
        <f>K24</f>
        <v>0</v>
      </c>
      <c r="P24" s="859">
        <f>O24*N24</f>
        <v>0</v>
      </c>
    </row>
    <row r="25" spans="2:16">
      <c r="B25" s="2077"/>
      <c r="C25" s="861" t="str">
        <f t="shared" si="6"/>
        <v>北東</v>
      </c>
      <c r="D25" s="847">
        <f t="shared" ref="D25:G31" si="9">D7-D16</f>
        <v>0</v>
      </c>
      <c r="E25" s="847">
        <f t="shared" si="9"/>
        <v>0</v>
      </c>
      <c r="F25" s="847">
        <f t="shared" si="9"/>
        <v>0</v>
      </c>
      <c r="G25" s="848">
        <f t="shared" si="9"/>
        <v>0</v>
      </c>
      <c r="H25" s="1010"/>
      <c r="I25" s="1010"/>
      <c r="J25" s="862">
        <f>IF(D32&gt;=D33,D25,IF(E32&gt;=D33,E25,F25))</f>
        <v>0</v>
      </c>
      <c r="K25" s="902">
        <f>K24</f>
        <v>0</v>
      </c>
      <c r="L25" s="864">
        <f t="shared" ref="L25:L31" si="10">K25*J25</f>
        <v>0</v>
      </c>
      <c r="M25" s="896"/>
      <c r="N25" s="865">
        <f>G25</f>
        <v>0</v>
      </c>
      <c r="O25" s="863">
        <f>K25</f>
        <v>0</v>
      </c>
      <c r="P25" s="864">
        <f t="shared" ref="P25:P31" si="11">O25*N25</f>
        <v>0</v>
      </c>
    </row>
    <row r="26" spans="2:16">
      <c r="B26" s="2077"/>
      <c r="C26" s="861" t="str">
        <f t="shared" si="6"/>
        <v>東</v>
      </c>
      <c r="D26" s="847">
        <f t="shared" si="9"/>
        <v>0</v>
      </c>
      <c r="E26" s="847">
        <f t="shared" si="9"/>
        <v>0</v>
      </c>
      <c r="F26" s="847">
        <f t="shared" si="9"/>
        <v>0</v>
      </c>
      <c r="G26" s="848">
        <f t="shared" si="9"/>
        <v>0</v>
      </c>
      <c r="H26" s="1010"/>
      <c r="I26" s="1010"/>
      <c r="J26" s="862">
        <f>IF(D32&gt;=D33,D26,IF(E32&gt;=D33,E26,F26))</f>
        <v>0</v>
      </c>
      <c r="K26" s="902">
        <f t="shared" ref="K26:K31" si="12">K25</f>
        <v>0</v>
      </c>
      <c r="L26" s="864">
        <f t="shared" si="10"/>
        <v>0</v>
      </c>
      <c r="M26" s="896"/>
      <c r="N26" s="865">
        <f t="shared" ref="N26:N31" si="13">G26</f>
        <v>0</v>
      </c>
      <c r="O26" s="863">
        <f t="shared" ref="O26:O31" si="14">K26</f>
        <v>0</v>
      </c>
      <c r="P26" s="864">
        <f t="shared" si="11"/>
        <v>0</v>
      </c>
    </row>
    <row r="27" spans="2:16">
      <c r="B27" s="2077"/>
      <c r="C27" s="861" t="str">
        <f t="shared" si="6"/>
        <v>南東</v>
      </c>
      <c r="D27" s="847">
        <f t="shared" si="9"/>
        <v>0</v>
      </c>
      <c r="E27" s="847">
        <f t="shared" si="9"/>
        <v>0</v>
      </c>
      <c r="F27" s="847">
        <f t="shared" si="9"/>
        <v>0</v>
      </c>
      <c r="G27" s="848">
        <f t="shared" si="9"/>
        <v>0</v>
      </c>
      <c r="H27" s="1010"/>
      <c r="I27" s="1010"/>
      <c r="J27" s="862">
        <f>IF(D32&gt;=D33,D27,IF(E32&gt;=D33,E27,F27))</f>
        <v>0</v>
      </c>
      <c r="K27" s="902">
        <f t="shared" si="12"/>
        <v>0</v>
      </c>
      <c r="L27" s="864">
        <f t="shared" si="10"/>
        <v>0</v>
      </c>
      <c r="M27" s="896"/>
      <c r="N27" s="865">
        <f t="shared" si="13"/>
        <v>0</v>
      </c>
      <c r="O27" s="863">
        <f t="shared" si="14"/>
        <v>0</v>
      </c>
      <c r="P27" s="864">
        <f t="shared" si="11"/>
        <v>0</v>
      </c>
    </row>
    <row r="28" spans="2:16">
      <c r="B28" s="2077"/>
      <c r="C28" s="861" t="str">
        <f t="shared" si="6"/>
        <v>南</v>
      </c>
      <c r="D28" s="847">
        <f t="shared" si="9"/>
        <v>0</v>
      </c>
      <c r="E28" s="847">
        <f t="shared" si="9"/>
        <v>0</v>
      </c>
      <c r="F28" s="847">
        <f t="shared" si="9"/>
        <v>0</v>
      </c>
      <c r="G28" s="848">
        <f t="shared" si="9"/>
        <v>0</v>
      </c>
      <c r="H28" s="1010"/>
      <c r="I28" s="1010"/>
      <c r="J28" s="862">
        <f>IF(D32&gt;=D33,D28,IF(E32&gt;=D33,E28,F28))</f>
        <v>0</v>
      </c>
      <c r="K28" s="902">
        <f t="shared" si="12"/>
        <v>0</v>
      </c>
      <c r="L28" s="864">
        <f t="shared" si="10"/>
        <v>0</v>
      </c>
      <c r="M28" s="896"/>
      <c r="N28" s="865">
        <f t="shared" si="13"/>
        <v>0</v>
      </c>
      <c r="O28" s="866">
        <f t="shared" si="14"/>
        <v>0</v>
      </c>
      <c r="P28" s="864">
        <f t="shared" si="11"/>
        <v>0</v>
      </c>
    </row>
    <row r="29" spans="2:16">
      <c r="B29" s="2077"/>
      <c r="C29" s="861" t="str">
        <f t="shared" si="6"/>
        <v>南西</v>
      </c>
      <c r="D29" s="847">
        <f t="shared" si="9"/>
        <v>0</v>
      </c>
      <c r="E29" s="847">
        <f t="shared" si="9"/>
        <v>0</v>
      </c>
      <c r="F29" s="847">
        <f t="shared" si="9"/>
        <v>0</v>
      </c>
      <c r="G29" s="848">
        <f t="shared" si="9"/>
        <v>0</v>
      </c>
      <c r="H29" s="1010"/>
      <c r="I29" s="1010"/>
      <c r="J29" s="862">
        <f>IF(D32&gt;=D33,D29,IF(E32&gt;=D33,E29,F29))</f>
        <v>0</v>
      </c>
      <c r="K29" s="902">
        <f t="shared" si="12"/>
        <v>0</v>
      </c>
      <c r="L29" s="864">
        <f t="shared" si="10"/>
        <v>0</v>
      </c>
      <c r="M29" s="896"/>
      <c r="N29" s="865">
        <f t="shared" si="13"/>
        <v>0</v>
      </c>
      <c r="O29" s="863">
        <f t="shared" si="14"/>
        <v>0</v>
      </c>
      <c r="P29" s="864">
        <f t="shared" si="11"/>
        <v>0</v>
      </c>
    </row>
    <row r="30" spans="2:16">
      <c r="B30" s="2077"/>
      <c r="C30" s="861" t="str">
        <f t="shared" si="6"/>
        <v>西</v>
      </c>
      <c r="D30" s="847">
        <f t="shared" si="9"/>
        <v>0</v>
      </c>
      <c r="E30" s="847">
        <f t="shared" si="9"/>
        <v>0</v>
      </c>
      <c r="F30" s="847">
        <f t="shared" si="9"/>
        <v>0</v>
      </c>
      <c r="G30" s="848">
        <f t="shared" si="9"/>
        <v>0</v>
      </c>
      <c r="H30" s="1010"/>
      <c r="I30" s="1010"/>
      <c r="J30" s="862">
        <f>IF(D32&gt;=D33,D30,IF(E32&gt;=D33,E30,F30))</f>
        <v>0</v>
      </c>
      <c r="K30" s="902">
        <f t="shared" si="12"/>
        <v>0</v>
      </c>
      <c r="L30" s="864">
        <f t="shared" si="10"/>
        <v>0</v>
      </c>
      <c r="M30" s="896"/>
      <c r="N30" s="865">
        <f t="shared" si="13"/>
        <v>0</v>
      </c>
      <c r="O30" s="863">
        <f t="shared" si="14"/>
        <v>0</v>
      </c>
      <c r="P30" s="864">
        <f t="shared" si="11"/>
        <v>0</v>
      </c>
    </row>
    <row r="31" spans="2:16" ht="13.5" thickBot="1">
      <c r="B31" s="2077"/>
      <c r="C31" s="867" t="str">
        <f t="shared" si="6"/>
        <v>北西</v>
      </c>
      <c r="D31" s="850">
        <f t="shared" si="9"/>
        <v>0</v>
      </c>
      <c r="E31" s="850">
        <f t="shared" si="9"/>
        <v>0</v>
      </c>
      <c r="F31" s="850">
        <f t="shared" si="9"/>
        <v>0</v>
      </c>
      <c r="G31" s="851">
        <f t="shared" si="9"/>
        <v>0</v>
      </c>
      <c r="H31" s="1010"/>
      <c r="I31" s="1010"/>
      <c r="J31" s="868">
        <f>IF(D32&gt;=D33,D31,IF(E32&gt;=D33,E31,F31))</f>
        <v>0</v>
      </c>
      <c r="K31" s="902">
        <f t="shared" si="12"/>
        <v>0</v>
      </c>
      <c r="L31" s="870">
        <f t="shared" si="10"/>
        <v>0</v>
      </c>
      <c r="M31" s="896"/>
      <c r="N31" s="865">
        <f t="shared" si="13"/>
        <v>0</v>
      </c>
      <c r="O31" s="863">
        <f t="shared" si="14"/>
        <v>0</v>
      </c>
      <c r="P31" s="870">
        <f t="shared" si="11"/>
        <v>0</v>
      </c>
    </row>
    <row r="32" spans="2:16" ht="13.5" thickBot="1">
      <c r="B32" s="2078"/>
      <c r="C32" s="871" t="str">
        <f t="shared" si="6"/>
        <v>合計</v>
      </c>
      <c r="D32" s="872">
        <f>SUM(D24:D31)</f>
        <v>0</v>
      </c>
      <c r="E32" s="872">
        <f t="shared" ref="E32:G32" si="15">SUM(E24:E31)</f>
        <v>0</v>
      </c>
      <c r="F32" s="872">
        <f t="shared" si="15"/>
        <v>0</v>
      </c>
      <c r="G32" s="873">
        <f t="shared" si="15"/>
        <v>0</v>
      </c>
      <c r="H32" s="1010"/>
      <c r="I32" s="1010"/>
      <c r="J32" s="874">
        <f>SUM(J24:J31)</f>
        <v>0</v>
      </c>
      <c r="K32" s="875"/>
      <c r="L32" s="876">
        <f>SUM(L24:L31)</f>
        <v>0</v>
      </c>
      <c r="M32" s="896"/>
      <c r="N32" s="874">
        <f>SUM(N24:N31)</f>
        <v>0</v>
      </c>
      <c r="O32" s="875"/>
      <c r="P32" s="876">
        <f>SUM(P24:P31)</f>
        <v>0</v>
      </c>
    </row>
    <row r="33" spans="2:30" ht="13.5" thickBot="1">
      <c r="B33" s="2079"/>
      <c r="C33" s="871" t="s">
        <v>1130</v>
      </c>
      <c r="D33" s="2081">
        <f>MAX(D32:F32)</f>
        <v>0</v>
      </c>
      <c r="E33" s="2082"/>
      <c r="F33" s="2083"/>
      <c r="G33" s="873">
        <f>G32</f>
        <v>0</v>
      </c>
      <c r="H33" s="894"/>
      <c r="I33" s="894"/>
      <c r="J33" s="894"/>
      <c r="K33" s="894"/>
      <c r="L33" s="894"/>
      <c r="M33" s="896"/>
      <c r="N33" s="896"/>
      <c r="O33" s="896"/>
      <c r="P33" s="897"/>
    </row>
    <row r="34" spans="2:30">
      <c r="B34" s="892"/>
      <c r="C34" s="892"/>
      <c r="D34" s="892"/>
      <c r="E34" s="892"/>
      <c r="F34" s="892"/>
      <c r="G34" s="892"/>
      <c r="H34" s="892"/>
      <c r="I34" s="892"/>
      <c r="J34" s="892"/>
      <c r="K34" s="892"/>
      <c r="L34" s="892"/>
      <c r="M34" s="892"/>
      <c r="N34" s="892"/>
      <c r="O34" s="892"/>
    </row>
    <row r="35" spans="2:30">
      <c r="B35" s="892"/>
      <c r="C35" s="892"/>
      <c r="D35" s="892"/>
      <c r="E35" s="892"/>
      <c r="F35" s="892"/>
      <c r="G35" s="892"/>
      <c r="H35" s="892"/>
      <c r="I35" s="892"/>
      <c r="J35" s="892"/>
      <c r="K35" s="892"/>
      <c r="L35" s="892"/>
      <c r="M35" s="892"/>
      <c r="N35" s="892"/>
      <c r="O35" s="892"/>
    </row>
    <row r="36" spans="2:30">
      <c r="B36" s="892"/>
      <c r="C36" s="892"/>
      <c r="D36" s="892"/>
      <c r="E36" s="892"/>
      <c r="F36" s="892"/>
      <c r="G36" s="892"/>
      <c r="H36" s="892"/>
      <c r="I36" s="892"/>
      <c r="J36" s="892"/>
      <c r="K36" s="892"/>
      <c r="L36" s="892"/>
      <c r="M36" s="892"/>
      <c r="N36" s="892"/>
      <c r="O36" s="892"/>
    </row>
    <row r="37" spans="2:30">
      <c r="B37" s="892"/>
      <c r="C37" s="892"/>
      <c r="D37" s="892"/>
      <c r="E37" s="892"/>
      <c r="F37" s="892"/>
      <c r="G37" s="892"/>
      <c r="H37" s="892"/>
      <c r="I37" s="892"/>
      <c r="J37" s="892"/>
      <c r="K37" s="892"/>
      <c r="L37" s="892"/>
      <c r="M37" s="892"/>
      <c r="N37" s="892"/>
      <c r="O37" s="892"/>
    </row>
    <row r="38" spans="2:30">
      <c r="B38" s="892"/>
      <c r="C38" s="892"/>
      <c r="D38" s="892"/>
      <c r="E38" s="892"/>
      <c r="F38" s="892"/>
      <c r="G38" s="892"/>
      <c r="H38" s="892"/>
      <c r="I38" s="892"/>
      <c r="J38" s="892"/>
      <c r="K38" s="892"/>
      <c r="L38" s="892"/>
      <c r="M38" s="892"/>
      <c r="N38" s="892"/>
      <c r="O38" s="892"/>
    </row>
    <row r="39" spans="2:30">
      <c r="B39" s="892"/>
      <c r="C39" s="892"/>
      <c r="D39" s="892"/>
      <c r="E39" s="892"/>
      <c r="F39" s="892"/>
      <c r="G39" s="892"/>
      <c r="H39" s="892"/>
      <c r="I39" s="892"/>
      <c r="J39" s="892"/>
      <c r="K39" s="892"/>
      <c r="L39" s="892"/>
      <c r="M39" s="892"/>
      <c r="N39" s="892"/>
      <c r="O39" s="892"/>
    </row>
    <row r="40" spans="2:30">
      <c r="B40" s="892"/>
      <c r="C40" s="892"/>
      <c r="D40" s="892"/>
      <c r="E40" s="892"/>
      <c r="F40" s="892"/>
      <c r="G40" s="892"/>
      <c r="H40" s="892"/>
      <c r="I40" s="892"/>
      <c r="J40" s="892"/>
      <c r="K40" s="892"/>
      <c r="L40" s="892"/>
      <c r="M40" s="892"/>
      <c r="N40" s="892"/>
      <c r="O40" s="892"/>
    </row>
    <row r="41" spans="2:30">
      <c r="B41" s="892"/>
      <c r="C41" s="892"/>
      <c r="D41" s="892"/>
      <c r="E41" s="892"/>
      <c r="F41" s="892"/>
      <c r="G41" s="892"/>
      <c r="H41" s="892"/>
      <c r="I41" s="892"/>
      <c r="J41" s="892"/>
      <c r="K41" s="892"/>
      <c r="L41" s="892"/>
      <c r="M41" s="892"/>
      <c r="N41" s="892"/>
      <c r="O41" s="892"/>
    </row>
    <row r="42" spans="2:30">
      <c r="B42" s="892"/>
      <c r="C42" s="892"/>
      <c r="D42" s="892"/>
      <c r="E42" s="892"/>
      <c r="F42" s="892"/>
      <c r="G42" s="892"/>
      <c r="H42" s="892"/>
      <c r="I42" s="892"/>
      <c r="J42" s="892"/>
      <c r="K42" s="892"/>
      <c r="L42" s="892"/>
      <c r="M42" s="892"/>
      <c r="N42" s="892"/>
      <c r="O42" s="892"/>
    </row>
    <row r="43" spans="2:30">
      <c r="B43" s="892"/>
      <c r="C43" s="892"/>
      <c r="D43" s="892"/>
      <c r="E43" s="892"/>
      <c r="F43" s="892"/>
      <c r="G43" s="892"/>
      <c r="H43" s="892"/>
      <c r="I43" s="892"/>
      <c r="J43" s="892"/>
      <c r="K43" s="892"/>
      <c r="L43" s="892"/>
      <c r="M43" s="892"/>
      <c r="N43" s="892"/>
      <c r="O43" s="892"/>
    </row>
    <row r="44" spans="2:30">
      <c r="B44" s="892"/>
      <c r="C44" s="892"/>
      <c r="D44" s="892"/>
      <c r="E44" s="892"/>
      <c r="F44" s="892"/>
      <c r="G44" s="892"/>
      <c r="H44" s="892"/>
      <c r="I44" s="892"/>
      <c r="J44" s="892"/>
      <c r="K44" s="892"/>
      <c r="L44" s="892"/>
      <c r="M44" s="892"/>
      <c r="N44" s="892"/>
      <c r="O44" s="892"/>
    </row>
    <row r="45" spans="2:30">
      <c r="B45" s="1129" t="s">
        <v>183</v>
      </c>
      <c r="C45" s="1129"/>
      <c r="D45" s="1129"/>
      <c r="E45" s="1129"/>
      <c r="F45" s="1129"/>
      <c r="G45" s="1129"/>
      <c r="H45" s="1129"/>
      <c r="I45" s="1129"/>
      <c r="J45" s="1129"/>
      <c r="K45" s="1129"/>
      <c r="L45" s="1129"/>
      <c r="M45" s="1129"/>
      <c r="N45" s="1129"/>
      <c r="O45" s="1129"/>
    </row>
    <row r="46" spans="2:30" ht="36">
      <c r="B46" s="554" t="s">
        <v>0</v>
      </c>
      <c r="C46" s="814" t="s">
        <v>1117</v>
      </c>
      <c r="D46" s="814" t="s">
        <v>1118</v>
      </c>
      <c r="E46" s="814" t="s">
        <v>1116</v>
      </c>
      <c r="F46" s="20" t="s">
        <v>42</v>
      </c>
      <c r="G46" s="20" t="s">
        <v>43</v>
      </c>
      <c r="H46" s="18" t="s">
        <v>35</v>
      </c>
      <c r="I46" s="18" t="s">
        <v>36</v>
      </c>
      <c r="J46" s="20" t="s">
        <v>2</v>
      </c>
      <c r="K46" s="20" t="s">
        <v>3</v>
      </c>
      <c r="L46" s="20" t="s">
        <v>39</v>
      </c>
      <c r="M46" s="20" t="s">
        <v>38</v>
      </c>
      <c r="N46" s="20" t="s">
        <v>45</v>
      </c>
      <c r="O46" s="20" t="s">
        <v>44</v>
      </c>
      <c r="Q46" s="554" t="s">
        <v>0</v>
      </c>
      <c r="R46" s="1017" t="s">
        <v>1391</v>
      </c>
      <c r="S46" s="1017" t="s">
        <v>1392</v>
      </c>
      <c r="T46" s="1014" t="s">
        <v>1116</v>
      </c>
      <c r="U46" s="20" t="s">
        <v>42</v>
      </c>
      <c r="V46" s="20" t="s">
        <v>43</v>
      </c>
      <c r="W46" s="18" t="s">
        <v>566</v>
      </c>
      <c r="X46" s="20" t="s">
        <v>567</v>
      </c>
      <c r="Y46" s="20" t="s">
        <v>2</v>
      </c>
      <c r="Z46" s="20" t="s">
        <v>3</v>
      </c>
      <c r="AA46" s="20" t="s">
        <v>568</v>
      </c>
      <c r="AB46" s="20" t="s">
        <v>569</v>
      </c>
      <c r="AC46" s="20" t="s">
        <v>570</v>
      </c>
      <c r="AD46" s="20" t="s">
        <v>571</v>
      </c>
    </row>
    <row r="47" spans="2:30" ht="36">
      <c r="B47" s="554" t="s">
        <v>14</v>
      </c>
      <c r="C47" s="20" t="s">
        <v>16</v>
      </c>
      <c r="D47" s="20" t="s">
        <v>17</v>
      </c>
      <c r="E47" s="704"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704" t="s">
        <v>18</v>
      </c>
      <c r="U47" s="20" t="s">
        <v>19</v>
      </c>
      <c r="V47" s="20" t="s">
        <v>20</v>
      </c>
      <c r="W47" s="20" t="s">
        <v>30</v>
      </c>
      <c r="X47" s="20" t="s">
        <v>29</v>
      </c>
      <c r="Y47" s="20" t="s">
        <v>21</v>
      </c>
      <c r="Z47" s="20" t="s">
        <v>22</v>
      </c>
      <c r="AA47" s="20" t="s">
        <v>608</v>
      </c>
      <c r="AB47" s="20" t="s">
        <v>607</v>
      </c>
      <c r="AC47" s="555" t="s">
        <v>25</v>
      </c>
      <c r="AD47" s="20" t="s">
        <v>32</v>
      </c>
    </row>
    <row r="48" spans="2:30">
      <c r="B48" s="553" t="s">
        <v>15</v>
      </c>
      <c r="C48" s="835" t="s">
        <v>1115</v>
      </c>
      <c r="D48" s="835" t="s">
        <v>1115</v>
      </c>
      <c r="E48" s="835" t="s">
        <v>172</v>
      </c>
      <c r="F48" s="5" t="s">
        <v>10</v>
      </c>
      <c r="G48" s="5" t="s">
        <v>10</v>
      </c>
      <c r="H48" s="5" t="s">
        <v>11</v>
      </c>
      <c r="I48" s="5" t="s">
        <v>11</v>
      </c>
      <c r="J48" s="5" t="s">
        <v>10</v>
      </c>
      <c r="K48" s="5" t="s">
        <v>10</v>
      </c>
      <c r="L48" s="5" t="s">
        <v>11</v>
      </c>
      <c r="M48" s="5" t="s">
        <v>11</v>
      </c>
      <c r="N48" s="5" t="s">
        <v>11</v>
      </c>
      <c r="O48" s="553" t="s">
        <v>31</v>
      </c>
      <c r="Q48" s="553" t="s">
        <v>15</v>
      </c>
      <c r="R48" s="835" t="s">
        <v>1115</v>
      </c>
      <c r="S48" s="835" t="s">
        <v>1115</v>
      </c>
      <c r="T48" s="835" t="s">
        <v>172</v>
      </c>
      <c r="U48" s="5" t="s">
        <v>10</v>
      </c>
      <c r="V48" s="5" t="s">
        <v>10</v>
      </c>
      <c r="W48" s="5" t="s">
        <v>11</v>
      </c>
      <c r="X48" s="5" t="s">
        <v>11</v>
      </c>
      <c r="Y48" s="5" t="s">
        <v>10</v>
      </c>
      <c r="Z48" s="5" t="s">
        <v>10</v>
      </c>
      <c r="AA48" s="5" t="s">
        <v>11</v>
      </c>
      <c r="AB48" s="5" t="s">
        <v>11</v>
      </c>
      <c r="AC48" s="5" t="s">
        <v>11</v>
      </c>
      <c r="AD48" s="553" t="s">
        <v>31</v>
      </c>
    </row>
    <row r="49" spans="2:30">
      <c r="B49" s="553">
        <v>1</v>
      </c>
      <c r="C49" s="3"/>
      <c r="D49" s="836">
        <f>P32</f>
        <v>0</v>
      </c>
      <c r="E49" s="837">
        <f>温度条件他根拠!E21</f>
        <v>0</v>
      </c>
      <c r="F49" s="838">
        <v>0</v>
      </c>
      <c r="G49" s="839">
        <f>0.8*(温度条件他根拠!$E$10-温度条件他根拠!E8)/(温度条件他根拠!$E$10-温度条件他根拠!$E$8)</f>
        <v>0.79999999999999993</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553">
        <v>1</v>
      </c>
      <c r="R49" s="3"/>
      <c r="S49" s="836">
        <f>P14</f>
        <v>0</v>
      </c>
      <c r="T49" s="837">
        <f>温度条件他根拠!E21</f>
        <v>0</v>
      </c>
      <c r="U49" s="838">
        <f>F49</f>
        <v>0</v>
      </c>
      <c r="V49" s="1001">
        <f>G49</f>
        <v>0.79999999999999993</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553">
        <v>2</v>
      </c>
      <c r="C50" s="3"/>
      <c r="D50" s="3"/>
      <c r="E50" s="838">
        <f>E49</f>
        <v>0</v>
      </c>
      <c r="F50" s="838">
        <v>0</v>
      </c>
      <c r="G50" s="839">
        <f>0.8*(温度条件他根拠!$E$10-0)/(温度条件他根拠!$E$10-温度条件他根拠!$E$8)</f>
        <v>0.77294685990338163</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553">
        <v>2</v>
      </c>
      <c r="R50" s="3"/>
      <c r="S50" s="3"/>
      <c r="T50" s="838">
        <f>T49</f>
        <v>0</v>
      </c>
      <c r="U50" s="838">
        <f t="shared" ref="U50:V60" si="24">F50</f>
        <v>0</v>
      </c>
      <c r="V50" s="1001">
        <f t="shared" si="24"/>
        <v>0.77294685990338163</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553">
        <v>3</v>
      </c>
      <c r="C51" s="3"/>
      <c r="D51" s="3"/>
      <c r="E51" s="838">
        <f>E50</f>
        <v>0</v>
      </c>
      <c r="F51" s="838">
        <v>0</v>
      </c>
      <c r="G51" s="839">
        <f>0.8*(温度条件他根拠!$E$10-3.1)/(温度条件他根拠!$E$10-温度条件他根拠!$E$8)</f>
        <v>0.65314009661835748</v>
      </c>
      <c r="H51" s="7">
        <f t="shared" si="20"/>
        <v>0</v>
      </c>
      <c r="I51" s="7">
        <f t="shared" si="21"/>
        <v>0</v>
      </c>
      <c r="J51" s="2">
        <f>J50</f>
        <v>3.55</v>
      </c>
      <c r="K51" s="6">
        <f>K50</f>
        <v>3.95</v>
      </c>
      <c r="L51" s="7">
        <f t="shared" si="16"/>
        <v>0</v>
      </c>
      <c r="M51" s="7">
        <f t="shared" si="16"/>
        <v>0</v>
      </c>
      <c r="N51" s="13">
        <f t="shared" si="22"/>
        <v>0</v>
      </c>
      <c r="O51" s="12">
        <f t="shared" si="23"/>
        <v>0</v>
      </c>
      <c r="Q51" s="553">
        <v>3</v>
      </c>
      <c r="R51" s="3"/>
      <c r="S51" s="3"/>
      <c r="T51" s="838">
        <f t="shared" ref="T51:T60" si="27">T50</f>
        <v>0</v>
      </c>
      <c r="U51" s="838">
        <f t="shared" si="24"/>
        <v>0</v>
      </c>
      <c r="V51" s="1001">
        <f t="shared" si="24"/>
        <v>0.65314009661835748</v>
      </c>
      <c r="W51" s="7">
        <f t="shared" si="17"/>
        <v>0</v>
      </c>
      <c r="X51" s="7">
        <f t="shared" si="18"/>
        <v>0</v>
      </c>
      <c r="Y51" s="2">
        <f>Y50</f>
        <v>3.55</v>
      </c>
      <c r="Z51" s="6">
        <f>Z50</f>
        <v>3.95</v>
      </c>
      <c r="AA51" s="7">
        <f t="shared" si="19"/>
        <v>0</v>
      </c>
      <c r="AB51" s="7">
        <f t="shared" si="19"/>
        <v>0</v>
      </c>
      <c r="AC51" s="13">
        <f t="shared" si="25"/>
        <v>0</v>
      </c>
      <c r="AD51" s="12">
        <f t="shared" si="26"/>
        <v>0</v>
      </c>
    </row>
    <row r="52" spans="2:30">
      <c r="B52" s="553">
        <v>4</v>
      </c>
      <c r="C52" s="3"/>
      <c r="D52" s="3"/>
      <c r="E52" s="838">
        <f t="shared" ref="E52:E60" si="28">E51</f>
        <v>0</v>
      </c>
      <c r="F52" s="838">
        <v>0</v>
      </c>
      <c r="G52" s="839">
        <f>0.8*(温度条件他根拠!$E$10-8.4)/(温度条件他根拠!$E$10-温度条件他根拠!$E$8)</f>
        <v>0.44830917874396131</v>
      </c>
      <c r="H52" s="7">
        <f t="shared" si="20"/>
        <v>0</v>
      </c>
      <c r="I52" s="7">
        <f t="shared" si="21"/>
        <v>0</v>
      </c>
      <c r="J52" s="2">
        <f t="shared" ref="J52:K60" si="29">J51</f>
        <v>3.55</v>
      </c>
      <c r="K52" s="6">
        <f t="shared" si="29"/>
        <v>3.95</v>
      </c>
      <c r="L52" s="7">
        <f t="shared" si="16"/>
        <v>0</v>
      </c>
      <c r="M52" s="7">
        <f t="shared" si="16"/>
        <v>0</v>
      </c>
      <c r="N52" s="13">
        <f t="shared" si="22"/>
        <v>0</v>
      </c>
      <c r="O52" s="12">
        <f t="shared" si="23"/>
        <v>0</v>
      </c>
      <c r="Q52" s="553">
        <v>4</v>
      </c>
      <c r="R52" s="3"/>
      <c r="S52" s="3"/>
      <c r="T52" s="838">
        <f t="shared" si="27"/>
        <v>0</v>
      </c>
      <c r="U52" s="838">
        <f t="shared" si="24"/>
        <v>0</v>
      </c>
      <c r="V52" s="1001">
        <f t="shared" si="24"/>
        <v>0.44830917874396131</v>
      </c>
      <c r="W52" s="7">
        <f t="shared" si="17"/>
        <v>0</v>
      </c>
      <c r="X52" s="7">
        <f t="shared" si="18"/>
        <v>0</v>
      </c>
      <c r="Y52" s="2">
        <f t="shared" ref="Y52:Z60" si="30">Y51</f>
        <v>3.55</v>
      </c>
      <c r="Z52" s="6">
        <f t="shared" si="30"/>
        <v>3.95</v>
      </c>
      <c r="AA52" s="7">
        <f t="shared" si="19"/>
        <v>0</v>
      </c>
      <c r="AB52" s="7">
        <f t="shared" si="19"/>
        <v>0</v>
      </c>
      <c r="AC52" s="13">
        <f t="shared" si="25"/>
        <v>0</v>
      </c>
      <c r="AD52" s="12">
        <f t="shared" si="26"/>
        <v>0</v>
      </c>
    </row>
    <row r="53" spans="2:30">
      <c r="B53" s="553">
        <v>5</v>
      </c>
      <c r="C53" s="3"/>
      <c r="D53" s="3"/>
      <c r="E53" s="838">
        <f t="shared" si="28"/>
        <v>0</v>
      </c>
      <c r="F53" s="839">
        <f>0.175*(温度条件他根拠!$E$7-温度条件他根拠!$E$9)/(温度条件他根拠!$E$7-23.9)</f>
        <v>8.5312499999999958E-2</v>
      </c>
      <c r="G53" s="839">
        <f>0.2*(温度条件他根拠!$E$10-13.4)/(温度条件他根拠!$E$10-温度条件他根拠!$E$8)</f>
        <v>6.3768115942028997E-2</v>
      </c>
      <c r="H53" s="836">
        <f>$C$56*E53*F53/1000</f>
        <v>0</v>
      </c>
      <c r="I53" s="836">
        <f>G53*E53*$D$49/1000</f>
        <v>0</v>
      </c>
      <c r="J53" s="2">
        <f t="shared" si="29"/>
        <v>3.55</v>
      </c>
      <c r="K53" s="6">
        <f t="shared" si="29"/>
        <v>3.95</v>
      </c>
      <c r="L53" s="7">
        <f t="shared" si="16"/>
        <v>0</v>
      </c>
      <c r="M53" s="7">
        <f t="shared" si="16"/>
        <v>0</v>
      </c>
      <c r="N53" s="13">
        <f t="shared" si="22"/>
        <v>0</v>
      </c>
      <c r="O53" s="12">
        <f t="shared" si="23"/>
        <v>0</v>
      </c>
      <c r="Q53" s="553">
        <v>5</v>
      </c>
      <c r="R53" s="3"/>
      <c r="S53" s="3"/>
      <c r="T53" s="838">
        <f t="shared" si="27"/>
        <v>0</v>
      </c>
      <c r="U53" s="839">
        <f t="shared" si="24"/>
        <v>8.5312499999999958E-2</v>
      </c>
      <c r="V53" s="1001">
        <f t="shared" si="24"/>
        <v>6.3768115942028997E-2</v>
      </c>
      <c r="W53" s="836">
        <f t="shared" si="17"/>
        <v>0</v>
      </c>
      <c r="X53" s="836">
        <f t="shared" si="18"/>
        <v>0</v>
      </c>
      <c r="Y53" s="2">
        <f t="shared" si="30"/>
        <v>3.55</v>
      </c>
      <c r="Z53" s="6">
        <f t="shared" si="30"/>
        <v>3.95</v>
      </c>
      <c r="AA53" s="7">
        <f t="shared" si="19"/>
        <v>0</v>
      </c>
      <c r="AB53" s="7">
        <f t="shared" si="19"/>
        <v>0</v>
      </c>
      <c r="AC53" s="13">
        <f t="shared" si="25"/>
        <v>0</v>
      </c>
      <c r="AD53" s="12">
        <f t="shared" si="26"/>
        <v>0</v>
      </c>
    </row>
    <row r="54" spans="2:30">
      <c r="B54" s="553">
        <v>6</v>
      </c>
      <c r="C54" s="3"/>
      <c r="D54" s="3"/>
      <c r="E54" s="838">
        <f t="shared" si="28"/>
        <v>0</v>
      </c>
      <c r="F54" s="839">
        <f>0.7*(温度条件他根拠!$E$7-温度条件他根拠!$E$9)/(温度条件他根拠!$E$7-26.4)</f>
        <v>0.49636363636363612</v>
      </c>
      <c r="G54" s="838">
        <v>0</v>
      </c>
      <c r="H54" s="7">
        <f t="shared" si="20"/>
        <v>0</v>
      </c>
      <c r="I54" s="7">
        <f t="shared" si="21"/>
        <v>0</v>
      </c>
      <c r="J54" s="2">
        <f t="shared" si="29"/>
        <v>3.55</v>
      </c>
      <c r="K54" s="6">
        <f t="shared" si="29"/>
        <v>3.95</v>
      </c>
      <c r="L54" s="7">
        <f t="shared" si="16"/>
        <v>0</v>
      </c>
      <c r="M54" s="7">
        <f t="shared" si="16"/>
        <v>0</v>
      </c>
      <c r="N54" s="13">
        <f t="shared" si="22"/>
        <v>0</v>
      </c>
      <c r="O54" s="12">
        <f t="shared" si="23"/>
        <v>0</v>
      </c>
      <c r="Q54" s="553">
        <v>6</v>
      </c>
      <c r="R54" s="3"/>
      <c r="S54" s="3"/>
      <c r="T54" s="838">
        <f t="shared" si="27"/>
        <v>0</v>
      </c>
      <c r="U54" s="839">
        <f t="shared" si="24"/>
        <v>0.49636363636363612</v>
      </c>
      <c r="V54" s="1009">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553">
        <v>7</v>
      </c>
      <c r="C55" s="3"/>
      <c r="D55" s="3"/>
      <c r="E55" s="838">
        <f t="shared" si="28"/>
        <v>0</v>
      </c>
      <c r="F55" s="839">
        <f>0.7*(温度条件他根拠!$E$7-温度条件他根拠!$E$9)/(温度条件他根拠!$E$7-28)</f>
        <v>0.7</v>
      </c>
      <c r="G55" s="838">
        <v>0</v>
      </c>
      <c r="H55" s="7">
        <f t="shared" si="20"/>
        <v>0</v>
      </c>
      <c r="I55" s="7">
        <f t="shared" si="21"/>
        <v>0</v>
      </c>
      <c r="J55" s="2">
        <f t="shared" si="29"/>
        <v>3.55</v>
      </c>
      <c r="K55" s="6">
        <f t="shared" si="29"/>
        <v>3.95</v>
      </c>
      <c r="L55" s="7">
        <f t="shared" si="16"/>
        <v>0</v>
      </c>
      <c r="M55" s="7">
        <f t="shared" si="16"/>
        <v>0</v>
      </c>
      <c r="N55" s="13">
        <f t="shared" si="22"/>
        <v>0</v>
      </c>
      <c r="O55" s="12">
        <f t="shared" si="23"/>
        <v>0</v>
      </c>
      <c r="Q55" s="553">
        <v>7</v>
      </c>
      <c r="R55" s="3"/>
      <c r="S55" s="3"/>
      <c r="T55" s="838">
        <f t="shared" si="27"/>
        <v>0</v>
      </c>
      <c r="U55" s="839">
        <f t="shared" si="24"/>
        <v>0.7</v>
      </c>
      <c r="V55" s="1009">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553">
        <v>8</v>
      </c>
      <c r="C56" s="836">
        <f>L32</f>
        <v>0</v>
      </c>
      <c r="D56" s="3"/>
      <c r="E56" s="838">
        <f t="shared" si="28"/>
        <v>0</v>
      </c>
      <c r="F56" s="839">
        <f>0.7*(温度条件他根拠!$E$7-温度条件他根拠!$E$9)/(温度条件他根拠!$E$7-28)</f>
        <v>0.7</v>
      </c>
      <c r="G56" s="838">
        <v>0</v>
      </c>
      <c r="H56" s="7">
        <f t="shared" si="20"/>
        <v>0</v>
      </c>
      <c r="I56" s="7">
        <f t="shared" si="21"/>
        <v>0</v>
      </c>
      <c r="J56" s="2">
        <f t="shared" si="29"/>
        <v>3.55</v>
      </c>
      <c r="K56" s="6">
        <f t="shared" si="29"/>
        <v>3.95</v>
      </c>
      <c r="L56" s="7">
        <f t="shared" si="16"/>
        <v>0</v>
      </c>
      <c r="M56" s="7">
        <f t="shared" si="16"/>
        <v>0</v>
      </c>
      <c r="N56" s="13">
        <f t="shared" si="22"/>
        <v>0</v>
      </c>
      <c r="O56" s="12">
        <f t="shared" si="23"/>
        <v>0</v>
      </c>
      <c r="Q56" s="553">
        <v>8</v>
      </c>
      <c r="R56" s="836">
        <f>L14</f>
        <v>0</v>
      </c>
      <c r="S56" s="3"/>
      <c r="T56" s="838">
        <f t="shared" si="27"/>
        <v>0</v>
      </c>
      <c r="U56" s="839">
        <f t="shared" si="24"/>
        <v>0.7</v>
      </c>
      <c r="V56" s="1009">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553">
        <v>9</v>
      </c>
      <c r="C57" s="3"/>
      <c r="D57" s="3"/>
      <c r="E57" s="838">
        <f t="shared" si="28"/>
        <v>0</v>
      </c>
      <c r="F57" s="839">
        <f>0.7*(温度条件他根拠!$E$7-温度条件他根拠!$E$9)/(温度条件他根拠!$E$7-27.2)</f>
        <v>0.58085106382978702</v>
      </c>
      <c r="G57" s="838">
        <v>0</v>
      </c>
      <c r="H57" s="7">
        <f t="shared" si="20"/>
        <v>0</v>
      </c>
      <c r="I57" s="7">
        <f t="shared" si="21"/>
        <v>0</v>
      </c>
      <c r="J57" s="2">
        <f t="shared" si="29"/>
        <v>3.55</v>
      </c>
      <c r="K57" s="6">
        <f t="shared" si="29"/>
        <v>3.95</v>
      </c>
      <c r="L57" s="7">
        <f t="shared" si="16"/>
        <v>0</v>
      </c>
      <c r="M57" s="7">
        <f t="shared" si="16"/>
        <v>0</v>
      </c>
      <c r="N57" s="13">
        <f t="shared" si="22"/>
        <v>0</v>
      </c>
      <c r="O57" s="12">
        <f t="shared" si="23"/>
        <v>0</v>
      </c>
      <c r="Q57" s="553">
        <v>9</v>
      </c>
      <c r="R57" s="3"/>
      <c r="S57" s="3"/>
      <c r="T57" s="838">
        <f t="shared" si="27"/>
        <v>0</v>
      </c>
      <c r="U57" s="839">
        <f t="shared" si="24"/>
        <v>0.58085106382978702</v>
      </c>
      <c r="V57" s="1009">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553">
        <v>10</v>
      </c>
      <c r="C58" s="3"/>
      <c r="D58" s="3"/>
      <c r="E58" s="838">
        <f t="shared" si="28"/>
        <v>0</v>
      </c>
      <c r="F58" s="839">
        <f>0.175*(温度条件他根拠!$E$7-温度条件他根拠!$E$9)/(温度条件他根拠!$E$7-21.7)</f>
        <v>6.6911764705882323E-2</v>
      </c>
      <c r="G58" s="839">
        <f>0.2*(温度条件他根拠!$E$10-13)/(温度条件他根拠!$E$10-温度条件他根拠!$E$8)</f>
        <v>6.7632850241545903E-2</v>
      </c>
      <c r="H58" s="836">
        <f>$C$56*E58*F58/1000</f>
        <v>0</v>
      </c>
      <c r="I58" s="836">
        <f>G58*E58*$D$49/1000</f>
        <v>0</v>
      </c>
      <c r="J58" s="2">
        <f t="shared" si="29"/>
        <v>3.55</v>
      </c>
      <c r="K58" s="6">
        <f t="shared" si="29"/>
        <v>3.95</v>
      </c>
      <c r="L58" s="7">
        <f t="shared" si="16"/>
        <v>0</v>
      </c>
      <c r="M58" s="7">
        <f t="shared" si="16"/>
        <v>0</v>
      </c>
      <c r="N58" s="13">
        <f t="shared" si="22"/>
        <v>0</v>
      </c>
      <c r="O58" s="12">
        <f t="shared" si="23"/>
        <v>0</v>
      </c>
      <c r="Q58" s="553">
        <v>10</v>
      </c>
      <c r="R58" s="3"/>
      <c r="S58" s="3"/>
      <c r="T58" s="838">
        <f t="shared" si="27"/>
        <v>0</v>
      </c>
      <c r="U58" s="839">
        <f t="shared" si="24"/>
        <v>6.6911764705882323E-2</v>
      </c>
      <c r="V58" s="1001">
        <f t="shared" si="24"/>
        <v>6.7632850241545903E-2</v>
      </c>
      <c r="W58" s="836">
        <f>($R$56*T58*U58/1000)</f>
        <v>0</v>
      </c>
      <c r="X58" s="836">
        <f>(V58*T58*$S$49/1000)</f>
        <v>0</v>
      </c>
      <c r="Y58" s="2">
        <f t="shared" si="30"/>
        <v>3.55</v>
      </c>
      <c r="Z58" s="6">
        <f t="shared" si="30"/>
        <v>3.95</v>
      </c>
      <c r="AA58" s="7">
        <f t="shared" si="19"/>
        <v>0</v>
      </c>
      <c r="AB58" s="7">
        <f t="shared" si="19"/>
        <v>0</v>
      </c>
      <c r="AC58" s="13">
        <f t="shared" si="25"/>
        <v>0</v>
      </c>
      <c r="AD58" s="12">
        <f t="shared" si="26"/>
        <v>0</v>
      </c>
    </row>
    <row r="59" spans="2:30">
      <c r="B59" s="553">
        <v>11</v>
      </c>
      <c r="C59" s="3"/>
      <c r="D59" s="3"/>
      <c r="E59" s="838">
        <f t="shared" si="28"/>
        <v>0</v>
      </c>
      <c r="F59" s="838">
        <v>0</v>
      </c>
      <c r="G59" s="839">
        <f>0.8*(温度条件他根拠!$E$10-6.7)/(温度条件他根拠!$E$10-温度条件他根拠!$E$8)</f>
        <v>0.51400966183574881</v>
      </c>
      <c r="H59" s="7">
        <f t="shared" si="20"/>
        <v>0</v>
      </c>
      <c r="I59" s="7">
        <f t="shared" si="21"/>
        <v>0</v>
      </c>
      <c r="J59" s="2">
        <f t="shared" si="29"/>
        <v>3.55</v>
      </c>
      <c r="K59" s="6">
        <f t="shared" si="29"/>
        <v>3.95</v>
      </c>
      <c r="L59" s="7">
        <f t="shared" si="16"/>
        <v>0</v>
      </c>
      <c r="M59" s="7">
        <f t="shared" si="16"/>
        <v>0</v>
      </c>
      <c r="N59" s="13">
        <f t="shared" si="22"/>
        <v>0</v>
      </c>
      <c r="O59" s="12">
        <f t="shared" si="23"/>
        <v>0</v>
      </c>
      <c r="Q59" s="553">
        <v>11</v>
      </c>
      <c r="R59" s="3"/>
      <c r="S59" s="3"/>
      <c r="T59" s="838">
        <f t="shared" si="27"/>
        <v>0</v>
      </c>
      <c r="U59" s="838">
        <f t="shared" si="24"/>
        <v>0</v>
      </c>
      <c r="V59" s="1001">
        <f t="shared" si="24"/>
        <v>0.51400966183574881</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553">
        <v>12</v>
      </c>
      <c r="C60" s="3"/>
      <c r="D60" s="3"/>
      <c r="E60" s="838">
        <f t="shared" si="28"/>
        <v>0</v>
      </c>
      <c r="F60" s="838">
        <v>0</v>
      </c>
      <c r="G60" s="839">
        <f>0.8*(温度条件他根拠!$E$10-1.6)/(温度条件他根拠!$E$10-温度条件他根拠!$E$8)</f>
        <v>0.71111111111111103</v>
      </c>
      <c r="H60" s="7">
        <f t="shared" si="20"/>
        <v>0</v>
      </c>
      <c r="I60" s="7">
        <f t="shared" si="21"/>
        <v>0</v>
      </c>
      <c r="J60" s="2">
        <f t="shared" si="29"/>
        <v>3.55</v>
      </c>
      <c r="K60" s="6">
        <f t="shared" si="29"/>
        <v>3.95</v>
      </c>
      <c r="L60" s="7">
        <f t="shared" si="16"/>
        <v>0</v>
      </c>
      <c r="M60" s="7">
        <f t="shared" si="16"/>
        <v>0</v>
      </c>
      <c r="N60" s="13">
        <f t="shared" si="22"/>
        <v>0</v>
      </c>
      <c r="O60" s="12">
        <f t="shared" si="23"/>
        <v>0</v>
      </c>
      <c r="Q60" s="553">
        <v>12</v>
      </c>
      <c r="R60" s="3"/>
      <c r="S60" s="3"/>
      <c r="T60" s="838">
        <f t="shared" si="27"/>
        <v>0</v>
      </c>
      <c r="U60" s="838">
        <f t="shared" si="24"/>
        <v>0</v>
      </c>
      <c r="V60" s="1001">
        <f t="shared" si="24"/>
        <v>0.71111111111111103</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6" spans="2:3">
      <c r="B86" s="1" t="s">
        <v>1079</v>
      </c>
    </row>
    <row r="87" spans="2:3">
      <c r="B87" s="691">
        <v>43927</v>
      </c>
      <c r="C87" s="900" t="s">
        <v>865</v>
      </c>
    </row>
    <row r="88" spans="2:3">
      <c r="B88" s="691">
        <v>43927</v>
      </c>
      <c r="C88" s="690" t="s">
        <v>866</v>
      </c>
    </row>
    <row r="89" spans="2:3">
      <c r="B89" s="691">
        <v>44634</v>
      </c>
      <c r="C89" s="690" t="s">
        <v>1119</v>
      </c>
    </row>
    <row r="90" spans="2:3">
      <c r="C90" s="690" t="s">
        <v>1120</v>
      </c>
    </row>
    <row r="91" spans="2:3">
      <c r="C91" s="1" t="s">
        <v>1121</v>
      </c>
    </row>
    <row r="92" spans="2:3">
      <c r="C92" s="1" t="s">
        <v>1133</v>
      </c>
    </row>
    <row r="93" spans="2:3">
      <c r="C93" s="1" t="s">
        <v>1134</v>
      </c>
    </row>
  </sheetData>
  <mergeCells count="21">
    <mergeCell ref="P16:P23"/>
    <mergeCell ref="B15:B23"/>
    <mergeCell ref="B24:B33"/>
    <mergeCell ref="D33:F33"/>
    <mergeCell ref="B2:O2"/>
    <mergeCell ref="J3:J5"/>
    <mergeCell ref="K3:K5"/>
    <mergeCell ref="L3:L5"/>
    <mergeCell ref="N3:N5"/>
    <mergeCell ref="O3:O5"/>
    <mergeCell ref="P3:P5"/>
    <mergeCell ref="J16:J22"/>
    <mergeCell ref="K16:K23"/>
    <mergeCell ref="L16:L23"/>
    <mergeCell ref="N16:N22"/>
    <mergeCell ref="O16:O23"/>
    <mergeCell ref="B45:O45"/>
    <mergeCell ref="B4:C5"/>
    <mergeCell ref="D4:F4"/>
    <mergeCell ref="G4:G5"/>
    <mergeCell ref="B6:B14"/>
  </mergeCells>
  <phoneticPr fontId="2"/>
  <pageMargins left="0" right="0" top="0.55118110236220474" bottom="0.15748031496062992" header="0.11811023622047245" footer="0"/>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B1:AD43"/>
  <sheetViews>
    <sheetView workbookViewId="0">
      <selection activeCell="C67" sqref="C67"/>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30">
      <c r="B1" s="155">
        <f>温度条件他根拠!F6</f>
        <v>3</v>
      </c>
    </row>
    <row r="2" spans="2:30">
      <c r="B2" s="1129" t="s">
        <v>183</v>
      </c>
      <c r="C2" s="1129"/>
      <c r="D2" s="1129"/>
      <c r="E2" s="1129"/>
      <c r="F2" s="1129"/>
      <c r="G2" s="1129"/>
      <c r="H2" s="1129"/>
      <c r="I2" s="1129"/>
      <c r="J2" s="1129"/>
      <c r="K2" s="1129"/>
      <c r="L2" s="1129"/>
      <c r="M2" s="1129"/>
      <c r="N2" s="1129"/>
      <c r="O2" s="1129"/>
    </row>
    <row r="3" spans="2:30" ht="36">
      <c r="B3" s="19" t="s">
        <v>0</v>
      </c>
      <c r="C3" s="20" t="s">
        <v>40</v>
      </c>
      <c r="D3" s="20" t="s">
        <v>41</v>
      </c>
      <c r="E3" s="20" t="s">
        <v>8</v>
      </c>
      <c r="F3" s="20" t="s">
        <v>42</v>
      </c>
      <c r="G3" s="20" t="s">
        <v>43</v>
      </c>
      <c r="H3" s="18" t="s">
        <v>35</v>
      </c>
      <c r="I3" s="18" t="s">
        <v>36</v>
      </c>
      <c r="J3" s="20" t="s">
        <v>2</v>
      </c>
      <c r="K3" s="20" t="s">
        <v>3</v>
      </c>
      <c r="L3" s="20" t="s">
        <v>39</v>
      </c>
      <c r="M3" s="20" t="s">
        <v>38</v>
      </c>
      <c r="N3" s="20" t="s">
        <v>37</v>
      </c>
      <c r="O3" s="20" t="s">
        <v>44</v>
      </c>
      <c r="Q3" s="288" t="s">
        <v>0</v>
      </c>
      <c r="R3" s="20" t="s">
        <v>40</v>
      </c>
      <c r="S3" s="20" t="s">
        <v>41</v>
      </c>
      <c r="T3" s="20" t="s">
        <v>8</v>
      </c>
      <c r="U3" s="20" t="s">
        <v>42</v>
      </c>
      <c r="V3" s="20" t="s">
        <v>43</v>
      </c>
      <c r="W3" s="18" t="s">
        <v>35</v>
      </c>
      <c r="X3" s="18" t="s">
        <v>36</v>
      </c>
      <c r="Y3" s="20" t="s">
        <v>2</v>
      </c>
      <c r="Z3" s="20" t="s">
        <v>3</v>
      </c>
      <c r="AA3" s="20" t="s">
        <v>39</v>
      </c>
      <c r="AB3" s="20" t="s">
        <v>38</v>
      </c>
      <c r="AC3" s="20" t="s">
        <v>37</v>
      </c>
      <c r="AD3" s="20" t="s">
        <v>44</v>
      </c>
    </row>
    <row r="4" spans="2:30" ht="36">
      <c r="B4" s="19" t="s">
        <v>14</v>
      </c>
      <c r="C4" s="20" t="s">
        <v>16</v>
      </c>
      <c r="D4" s="20" t="s">
        <v>17</v>
      </c>
      <c r="E4" s="20" t="s">
        <v>18</v>
      </c>
      <c r="F4" s="20" t="s">
        <v>19</v>
      </c>
      <c r="G4" s="20" t="s">
        <v>20</v>
      </c>
      <c r="H4" s="20" t="s">
        <v>30</v>
      </c>
      <c r="I4" s="20" t="s">
        <v>29</v>
      </c>
      <c r="J4" s="20" t="s">
        <v>21</v>
      </c>
      <c r="K4" s="20" t="s">
        <v>22</v>
      </c>
      <c r="L4" s="20" t="s">
        <v>608</v>
      </c>
      <c r="M4" s="20" t="s">
        <v>607</v>
      </c>
      <c r="N4" s="21" t="s">
        <v>25</v>
      </c>
      <c r="O4" s="20" t="s">
        <v>32</v>
      </c>
      <c r="Q4" s="288" t="s">
        <v>14</v>
      </c>
      <c r="R4" s="20" t="s">
        <v>16</v>
      </c>
      <c r="S4" s="20" t="s">
        <v>17</v>
      </c>
      <c r="T4" s="20" t="s">
        <v>18</v>
      </c>
      <c r="U4" s="20" t="s">
        <v>19</v>
      </c>
      <c r="V4" s="20" t="s">
        <v>20</v>
      </c>
      <c r="W4" s="20" t="s">
        <v>30</v>
      </c>
      <c r="X4" s="20" t="s">
        <v>29</v>
      </c>
      <c r="Y4" s="20" t="s">
        <v>21</v>
      </c>
      <c r="Z4" s="20" t="s">
        <v>22</v>
      </c>
      <c r="AA4" s="20" t="s">
        <v>608</v>
      </c>
      <c r="AB4" s="20" t="s">
        <v>607</v>
      </c>
      <c r="AC4" s="289" t="s">
        <v>25</v>
      </c>
      <c r="AD4" s="20" t="s">
        <v>32</v>
      </c>
    </row>
    <row r="5" spans="2:30">
      <c r="B5" s="4" t="s">
        <v>15</v>
      </c>
      <c r="C5" s="5" t="s">
        <v>12</v>
      </c>
      <c r="D5" s="5" t="s">
        <v>12</v>
      </c>
      <c r="E5" s="5" t="s">
        <v>9</v>
      </c>
      <c r="F5" s="5" t="s">
        <v>10</v>
      </c>
      <c r="G5" s="5" t="s">
        <v>10</v>
      </c>
      <c r="H5" s="5" t="s">
        <v>27</v>
      </c>
      <c r="I5" s="5" t="s">
        <v>27</v>
      </c>
      <c r="J5" s="5" t="s">
        <v>10</v>
      </c>
      <c r="K5" s="5" t="s">
        <v>10</v>
      </c>
      <c r="L5" s="5" t="s">
        <v>27</v>
      </c>
      <c r="M5" s="5" t="s">
        <v>27</v>
      </c>
      <c r="N5" s="5" t="s">
        <v>27</v>
      </c>
      <c r="O5" s="4" t="s">
        <v>31</v>
      </c>
      <c r="Q5" s="287" t="s">
        <v>15</v>
      </c>
      <c r="R5" s="5" t="s">
        <v>12</v>
      </c>
      <c r="S5" s="5" t="s">
        <v>12</v>
      </c>
      <c r="T5" s="5" t="s">
        <v>9</v>
      </c>
      <c r="U5" s="5" t="s">
        <v>10</v>
      </c>
      <c r="V5" s="5" t="s">
        <v>10</v>
      </c>
      <c r="W5" s="5" t="s">
        <v>27</v>
      </c>
      <c r="X5" s="5" t="s">
        <v>27</v>
      </c>
      <c r="Y5" s="5" t="s">
        <v>10</v>
      </c>
      <c r="Z5" s="5" t="s">
        <v>10</v>
      </c>
      <c r="AA5" s="5" t="s">
        <v>27</v>
      </c>
      <c r="AB5" s="5" t="s">
        <v>27</v>
      </c>
      <c r="AC5" s="5" t="s">
        <v>27</v>
      </c>
      <c r="AD5" s="287" t="s">
        <v>31</v>
      </c>
    </row>
    <row r="6" spans="2:30">
      <c r="B6" s="4">
        <v>1</v>
      </c>
      <c r="C6" s="3"/>
      <c r="D6" s="7">
        <f>結果!M112</f>
        <v>0</v>
      </c>
      <c r="E6" s="2">
        <f>温度条件他根拠!E21*温度条件他根拠!E22</f>
        <v>0</v>
      </c>
      <c r="F6" s="2">
        <v>0</v>
      </c>
      <c r="G6" s="6">
        <f>(温度条件他根拠!$F$10-温度条件他根拠!F8)/(温度条件他根拠!$F$10-温度条件他根拠!$F$8)</f>
        <v>1</v>
      </c>
      <c r="H6" s="7">
        <f>$C$13*E6*F6/1000</f>
        <v>0</v>
      </c>
      <c r="I6" s="7">
        <f>G6*E6*$D$6/1000</f>
        <v>0</v>
      </c>
      <c r="J6" s="6">
        <f>温度条件他根拠!C61</f>
        <v>3.55</v>
      </c>
      <c r="K6" s="6">
        <f>温度条件他根拠!C62</f>
        <v>3.95</v>
      </c>
      <c r="L6" s="7">
        <f t="shared" ref="L6:L17" si="0">H6/J6</f>
        <v>0</v>
      </c>
      <c r="M6" s="7">
        <f t="shared" ref="M6:M17" si="1">I6/K6</f>
        <v>0</v>
      </c>
      <c r="N6" s="13">
        <f>L6+M6</f>
        <v>0</v>
      </c>
      <c r="O6" s="12">
        <f>N6*0.495/1000</f>
        <v>0</v>
      </c>
      <c r="Q6" s="287">
        <v>1</v>
      </c>
      <c r="R6" s="3"/>
      <c r="S6" s="7">
        <f>結果!Q113</f>
        <v>0</v>
      </c>
      <c r="T6" s="2">
        <f>温度条件他根拠!E21*温度条件他根拠!E22</f>
        <v>0</v>
      </c>
      <c r="U6" s="2">
        <v>0</v>
      </c>
      <c r="V6" s="6">
        <f>(温度条件他根拠!$F$10-温度条件他根拠!U8)/(温度条件他根拠!$F$10-温度条件他根拠!$F$8)</f>
        <v>0.82644628099173556</v>
      </c>
      <c r="W6" s="7">
        <f>$R$13*T6*U6/1000</f>
        <v>0</v>
      </c>
      <c r="X6" s="7">
        <f>V6*T6*$S$6/1000</f>
        <v>0</v>
      </c>
      <c r="Y6" s="6">
        <f>温度条件他根拠!C61</f>
        <v>3.55</v>
      </c>
      <c r="Z6" s="6">
        <f>温度条件他根拠!C62</f>
        <v>3.95</v>
      </c>
      <c r="AA6" s="7">
        <f t="shared" ref="AA6:AA17" si="2">W6/Y6</f>
        <v>0</v>
      </c>
      <c r="AB6" s="7">
        <f t="shared" ref="AB6:AB17" si="3">X6/Z6</f>
        <v>0</v>
      </c>
      <c r="AC6" s="13">
        <f>AA6+AB6</f>
        <v>0</v>
      </c>
      <c r="AD6" s="12">
        <f>AC6*0.495/1000</f>
        <v>0</v>
      </c>
    </row>
    <row r="7" spans="2:30">
      <c r="B7" s="4">
        <v>2</v>
      </c>
      <c r="C7" s="3"/>
      <c r="D7" s="3"/>
      <c r="E7" s="2">
        <f>E6</f>
        <v>0</v>
      </c>
      <c r="F7" s="2">
        <v>0</v>
      </c>
      <c r="G7" s="6">
        <f>(温度条件他根拠!$F$10--3.3)/(温度条件他根拠!$F$10-温度条件他根拠!$F$8)</f>
        <v>0.96280991735537191</v>
      </c>
      <c r="H7" s="7">
        <f t="shared" ref="H7:H17" si="4">$C$13*E7*F7/1000</f>
        <v>0</v>
      </c>
      <c r="I7" s="7">
        <f t="shared" ref="I7:I17" si="5">G7*E7*$D$6/1000</f>
        <v>0</v>
      </c>
      <c r="J7" s="2">
        <f>J6</f>
        <v>3.55</v>
      </c>
      <c r="K7" s="6">
        <f>K6</f>
        <v>3.95</v>
      </c>
      <c r="L7" s="7">
        <f t="shared" si="0"/>
        <v>0</v>
      </c>
      <c r="M7" s="7">
        <f t="shared" si="1"/>
        <v>0</v>
      </c>
      <c r="N7" s="13">
        <f t="shared" ref="N7:N17" si="6">L7+M7</f>
        <v>0</v>
      </c>
      <c r="O7" s="12">
        <f t="shared" ref="O7:O17" si="7">N7*0.495/1000</f>
        <v>0</v>
      </c>
      <c r="Q7" s="287">
        <v>2</v>
      </c>
      <c r="R7" s="3"/>
      <c r="S7" s="3"/>
      <c r="T7" s="2">
        <f>T6</f>
        <v>0</v>
      </c>
      <c r="U7" s="2">
        <v>0</v>
      </c>
      <c r="V7" s="6">
        <f>(温度条件他根拠!$F$10--3.3)/(温度条件他根拠!$F$10-温度条件他根拠!$F$8)</f>
        <v>0.96280991735537191</v>
      </c>
      <c r="W7" s="7">
        <f>$R$13*T7*U7/1000</f>
        <v>0</v>
      </c>
      <c r="X7" s="7">
        <f>V7*T7*$S$6/1000</f>
        <v>0</v>
      </c>
      <c r="Y7" s="2">
        <f>Y6</f>
        <v>3.55</v>
      </c>
      <c r="Z7" s="6">
        <f>Z6</f>
        <v>3.95</v>
      </c>
      <c r="AA7" s="7">
        <f t="shared" si="2"/>
        <v>0</v>
      </c>
      <c r="AB7" s="7">
        <f t="shared" si="3"/>
        <v>0</v>
      </c>
      <c r="AC7" s="13">
        <f t="shared" ref="AC7:AC17" si="8">AA7+AB7</f>
        <v>0</v>
      </c>
      <c r="AD7" s="12">
        <f t="shared" ref="AD7:AD17" si="9">AC7*0.495/1000</f>
        <v>0</v>
      </c>
    </row>
    <row r="8" spans="2:30">
      <c r="B8" s="4">
        <v>3</v>
      </c>
      <c r="C8" s="3"/>
      <c r="D8" s="3"/>
      <c r="E8" s="2">
        <f t="shared" ref="E8:E17" si="10">E7</f>
        <v>0</v>
      </c>
      <c r="F8" s="2">
        <v>0</v>
      </c>
      <c r="G8" s="6">
        <f>(温度条件他根拠!$F$10-0.2)/(温度条件他根拠!$F$10-温度条件他根拠!$F$8)</f>
        <v>0.81818181818181823</v>
      </c>
      <c r="H8" s="7">
        <f t="shared" si="4"/>
        <v>0</v>
      </c>
      <c r="I8" s="7">
        <f t="shared" si="5"/>
        <v>0</v>
      </c>
      <c r="J8" s="2">
        <f t="shared" ref="J8:K17" si="11">J7</f>
        <v>3.55</v>
      </c>
      <c r="K8" s="6">
        <f t="shared" si="11"/>
        <v>3.95</v>
      </c>
      <c r="L8" s="7">
        <f t="shared" si="0"/>
        <v>0</v>
      </c>
      <c r="M8" s="7">
        <f t="shared" si="1"/>
        <v>0</v>
      </c>
      <c r="N8" s="13">
        <f t="shared" si="6"/>
        <v>0</v>
      </c>
      <c r="O8" s="12">
        <f t="shared" si="7"/>
        <v>0</v>
      </c>
      <c r="Q8" s="287">
        <v>3</v>
      </c>
      <c r="R8" s="3"/>
      <c r="S8" s="3"/>
      <c r="T8" s="2">
        <f t="shared" ref="T8:T17" si="12">T7</f>
        <v>0</v>
      </c>
      <c r="U8" s="2">
        <v>0</v>
      </c>
      <c r="V8" s="6">
        <f>(温度条件他根拠!$F$10-0.2)/(温度条件他根拠!$F$10-温度条件他根拠!$F$8)</f>
        <v>0.81818181818181823</v>
      </c>
      <c r="W8" s="7">
        <f>$R$13*T8*U8/1000</f>
        <v>0</v>
      </c>
      <c r="X8" s="7">
        <f>V8*T8*$S$6/1000</f>
        <v>0</v>
      </c>
      <c r="Y8" s="2">
        <f t="shared" ref="Y8:Z8" si="13">Y7</f>
        <v>3.55</v>
      </c>
      <c r="Z8" s="6">
        <f t="shared" si="13"/>
        <v>3.95</v>
      </c>
      <c r="AA8" s="7">
        <f t="shared" si="2"/>
        <v>0</v>
      </c>
      <c r="AB8" s="7">
        <f t="shared" si="3"/>
        <v>0</v>
      </c>
      <c r="AC8" s="13">
        <f t="shared" si="8"/>
        <v>0</v>
      </c>
      <c r="AD8" s="12">
        <f t="shared" si="9"/>
        <v>0</v>
      </c>
    </row>
    <row r="9" spans="2:30">
      <c r="B9" s="4">
        <v>4</v>
      </c>
      <c r="C9" s="3"/>
      <c r="D9" s="3"/>
      <c r="E9" s="2">
        <f t="shared" si="10"/>
        <v>0</v>
      </c>
      <c r="F9" s="2">
        <v>0</v>
      </c>
      <c r="G9" s="6">
        <f>(温度条件他根拠!$F$10-5.8)/(温度条件他根拠!$F$10-温度条件他根拠!$F$8)</f>
        <v>0.58677685950413216</v>
      </c>
      <c r="H9" s="7">
        <f t="shared" si="4"/>
        <v>0</v>
      </c>
      <c r="I9" s="7">
        <f t="shared" si="5"/>
        <v>0</v>
      </c>
      <c r="J9" s="2">
        <f t="shared" si="11"/>
        <v>3.55</v>
      </c>
      <c r="K9" s="6">
        <f t="shared" si="11"/>
        <v>3.95</v>
      </c>
      <c r="L9" s="7">
        <f t="shared" si="0"/>
        <v>0</v>
      </c>
      <c r="M9" s="7">
        <f t="shared" si="1"/>
        <v>0</v>
      </c>
      <c r="N9" s="13">
        <f t="shared" si="6"/>
        <v>0</v>
      </c>
      <c r="O9" s="12">
        <f t="shared" si="7"/>
        <v>0</v>
      </c>
      <c r="Q9" s="287">
        <v>4</v>
      </c>
      <c r="R9" s="3"/>
      <c r="S9" s="3"/>
      <c r="T9" s="2">
        <f t="shared" si="12"/>
        <v>0</v>
      </c>
      <c r="U9" s="2">
        <v>0</v>
      </c>
      <c r="V9" s="6">
        <f>(温度条件他根拠!$F$10-5.8)/(温度条件他根拠!$F$10-温度条件他根拠!$F$8)</f>
        <v>0.58677685950413216</v>
      </c>
      <c r="W9" s="7">
        <f>$R$13*T9*U9/1000</f>
        <v>0</v>
      </c>
      <c r="X9" s="7">
        <f>V9*T9*$S$6/1000</f>
        <v>0</v>
      </c>
      <c r="Y9" s="2">
        <f t="shared" ref="Y9:Z9" si="14">Y8</f>
        <v>3.55</v>
      </c>
      <c r="Z9" s="6">
        <f t="shared" si="14"/>
        <v>3.95</v>
      </c>
      <c r="AA9" s="7">
        <f t="shared" si="2"/>
        <v>0</v>
      </c>
      <c r="AB9" s="7">
        <f t="shared" si="3"/>
        <v>0</v>
      </c>
      <c r="AC9" s="13">
        <f t="shared" si="8"/>
        <v>0</v>
      </c>
      <c r="AD9" s="12">
        <f t="shared" si="9"/>
        <v>0</v>
      </c>
    </row>
    <row r="10" spans="2:30">
      <c r="B10" s="4">
        <v>5</v>
      </c>
      <c r="C10" s="3"/>
      <c r="D10" s="3"/>
      <c r="E10" s="2">
        <f t="shared" si="10"/>
        <v>0</v>
      </c>
      <c r="F10" s="6">
        <f>(温度条件他根拠!$F$7-温度条件他根拠!$F$9)/(温度条件他根拠!$F$7-23.1)</f>
        <v>0.35526315789473684</v>
      </c>
      <c r="G10" s="6">
        <f>(温度条件他根拠!$F$10-11.2)/(温度条件他根拠!$F$10-温度条件他根拠!$F$8)</f>
        <v>0.3636363636363637</v>
      </c>
      <c r="H10" s="689">
        <f>0.25*$C$13*E10*F10/1000</f>
        <v>0</v>
      </c>
      <c r="I10" s="689">
        <f>0.25*G10*E10*$D$6/1000</f>
        <v>0</v>
      </c>
      <c r="J10" s="2">
        <f t="shared" si="11"/>
        <v>3.55</v>
      </c>
      <c r="K10" s="6">
        <f t="shared" si="11"/>
        <v>3.95</v>
      </c>
      <c r="L10" s="7">
        <f t="shared" si="0"/>
        <v>0</v>
      </c>
      <c r="M10" s="7">
        <f t="shared" si="1"/>
        <v>0</v>
      </c>
      <c r="N10" s="13">
        <f t="shared" si="6"/>
        <v>0</v>
      </c>
      <c r="O10" s="12">
        <f t="shared" si="7"/>
        <v>0</v>
      </c>
      <c r="Q10" s="287">
        <v>5</v>
      </c>
      <c r="R10" s="3"/>
      <c r="S10" s="3"/>
      <c r="T10" s="2">
        <f t="shared" si="12"/>
        <v>0</v>
      </c>
      <c r="U10" s="6">
        <f>(温度条件他根拠!$F$7-温度条件他根拠!$F$9)/(温度条件他根拠!$F$7-23.1)</f>
        <v>0.35526315789473684</v>
      </c>
      <c r="V10" s="6">
        <f>(温度条件他根拠!$F$10-11.2)/(温度条件他根拠!$F$10-温度条件他根拠!$F$8)</f>
        <v>0.3636363636363637</v>
      </c>
      <c r="W10" s="689">
        <f>0.25*$R$13*T10*U10/1000</f>
        <v>0</v>
      </c>
      <c r="X10" s="689">
        <f>0.25*V10*T10*$S$6/1000</f>
        <v>0</v>
      </c>
      <c r="Y10" s="2">
        <f t="shared" ref="Y10:Z10" si="15">Y9</f>
        <v>3.55</v>
      </c>
      <c r="Z10" s="6">
        <f t="shared" si="15"/>
        <v>3.95</v>
      </c>
      <c r="AA10" s="7">
        <f t="shared" si="2"/>
        <v>0</v>
      </c>
      <c r="AB10" s="7">
        <f t="shared" si="3"/>
        <v>0</v>
      </c>
      <c r="AC10" s="13">
        <f t="shared" si="8"/>
        <v>0</v>
      </c>
      <c r="AD10" s="12">
        <f t="shared" si="9"/>
        <v>0</v>
      </c>
    </row>
    <row r="11" spans="2:30">
      <c r="B11" s="4">
        <v>6</v>
      </c>
      <c r="C11" s="3"/>
      <c r="D11" s="3"/>
      <c r="E11" s="2">
        <f t="shared" si="10"/>
        <v>0</v>
      </c>
      <c r="F11" s="6">
        <f>(温度条件他根拠!$F$7-温度条件他根拠!$F$9)/(温度条件他根拠!$F$7-25.5)</f>
        <v>0.51923076923076916</v>
      </c>
      <c r="G11" s="2">
        <v>0</v>
      </c>
      <c r="H11" s="7">
        <f t="shared" si="4"/>
        <v>0</v>
      </c>
      <c r="I11" s="7">
        <f t="shared" si="5"/>
        <v>0</v>
      </c>
      <c r="J11" s="2">
        <f t="shared" si="11"/>
        <v>3.55</v>
      </c>
      <c r="K11" s="6">
        <f t="shared" si="11"/>
        <v>3.95</v>
      </c>
      <c r="L11" s="7">
        <f t="shared" si="0"/>
        <v>0</v>
      </c>
      <c r="M11" s="7">
        <f t="shared" si="1"/>
        <v>0</v>
      </c>
      <c r="N11" s="13">
        <f t="shared" si="6"/>
        <v>0</v>
      </c>
      <c r="O11" s="12">
        <f t="shared" si="7"/>
        <v>0</v>
      </c>
      <c r="Q11" s="287">
        <v>6</v>
      </c>
      <c r="R11" s="3"/>
      <c r="S11" s="3"/>
      <c r="T11" s="2">
        <f t="shared" si="12"/>
        <v>0</v>
      </c>
      <c r="U11" s="6">
        <f>(温度条件他根拠!$F$7-温度条件他根拠!$F$9)/(温度条件他根拠!$F$7-25.5)</f>
        <v>0.51923076923076916</v>
      </c>
      <c r="V11" s="2">
        <v>0</v>
      </c>
      <c r="W11" s="7">
        <f>$R$13*T11*U11/1000</f>
        <v>0</v>
      </c>
      <c r="X11" s="7">
        <f>V11*T11*$S$6/1000</f>
        <v>0</v>
      </c>
      <c r="Y11" s="2">
        <f t="shared" ref="Y11:Z11" si="16">Y10</f>
        <v>3.55</v>
      </c>
      <c r="Z11" s="6">
        <f t="shared" si="16"/>
        <v>3.95</v>
      </c>
      <c r="AA11" s="7">
        <f t="shared" si="2"/>
        <v>0</v>
      </c>
      <c r="AB11" s="7">
        <f t="shared" si="3"/>
        <v>0</v>
      </c>
      <c r="AC11" s="13">
        <f t="shared" si="8"/>
        <v>0</v>
      </c>
      <c r="AD11" s="12">
        <f t="shared" si="9"/>
        <v>0</v>
      </c>
    </row>
    <row r="12" spans="2:30">
      <c r="B12" s="4">
        <v>7</v>
      </c>
      <c r="C12" s="3"/>
      <c r="D12" s="3"/>
      <c r="E12" s="2">
        <f t="shared" si="10"/>
        <v>0</v>
      </c>
      <c r="F12" s="6">
        <f>(温度条件他根拠!$F$7-温度条件他根拠!$F$9)/(温度条件他根拠!$F$7-28)</f>
        <v>1</v>
      </c>
      <c r="G12" s="2">
        <v>0</v>
      </c>
      <c r="H12" s="7">
        <f t="shared" si="4"/>
        <v>0</v>
      </c>
      <c r="I12" s="7">
        <f t="shared" si="5"/>
        <v>0</v>
      </c>
      <c r="J12" s="2">
        <f t="shared" si="11"/>
        <v>3.55</v>
      </c>
      <c r="K12" s="6">
        <f t="shared" si="11"/>
        <v>3.95</v>
      </c>
      <c r="L12" s="7">
        <f t="shared" si="0"/>
        <v>0</v>
      </c>
      <c r="M12" s="7">
        <f t="shared" si="1"/>
        <v>0</v>
      </c>
      <c r="N12" s="13">
        <f t="shared" si="6"/>
        <v>0</v>
      </c>
      <c r="O12" s="12">
        <f t="shared" si="7"/>
        <v>0</v>
      </c>
      <c r="Q12" s="287">
        <v>7</v>
      </c>
      <c r="R12" s="3"/>
      <c r="S12" s="3"/>
      <c r="T12" s="2">
        <f t="shared" si="12"/>
        <v>0</v>
      </c>
      <c r="U12" s="6">
        <f>(温度条件他根拠!$F$7-温度条件他根拠!$F$9)/(温度条件他根拠!$F$7-28)</f>
        <v>1</v>
      </c>
      <c r="V12" s="2">
        <v>0</v>
      </c>
      <c r="W12" s="7">
        <f>$R$13*T12*U12/1000</f>
        <v>0</v>
      </c>
      <c r="X12" s="7">
        <f>V12*T12*$S$6/1000</f>
        <v>0</v>
      </c>
      <c r="Y12" s="2">
        <f t="shared" ref="Y12:Z12" si="17">Y11</f>
        <v>3.55</v>
      </c>
      <c r="Z12" s="6">
        <f t="shared" si="17"/>
        <v>3.95</v>
      </c>
      <c r="AA12" s="7">
        <f t="shared" si="2"/>
        <v>0</v>
      </c>
      <c r="AB12" s="7">
        <f t="shared" si="3"/>
        <v>0</v>
      </c>
      <c r="AC12" s="13">
        <f t="shared" si="8"/>
        <v>0</v>
      </c>
      <c r="AD12" s="12">
        <f t="shared" si="9"/>
        <v>0</v>
      </c>
    </row>
    <row r="13" spans="2:30">
      <c r="B13" s="4">
        <v>8</v>
      </c>
      <c r="C13" s="7">
        <f>結果!I112</f>
        <v>0</v>
      </c>
      <c r="D13" s="3"/>
      <c r="E13" s="2">
        <f t="shared" si="10"/>
        <v>0</v>
      </c>
      <c r="F13" s="6">
        <f>(温度条件他根拠!$F$7-温度条件他根拠!$F$9)/(温度条件他根拠!$F$7-28)</f>
        <v>1</v>
      </c>
      <c r="G13" s="2">
        <v>0</v>
      </c>
      <c r="H13" s="7">
        <f t="shared" si="4"/>
        <v>0</v>
      </c>
      <c r="I13" s="7">
        <f t="shared" si="5"/>
        <v>0</v>
      </c>
      <c r="J13" s="2">
        <f t="shared" si="11"/>
        <v>3.55</v>
      </c>
      <c r="K13" s="6">
        <f t="shared" si="11"/>
        <v>3.95</v>
      </c>
      <c r="L13" s="7">
        <f t="shared" si="0"/>
        <v>0</v>
      </c>
      <c r="M13" s="7">
        <f t="shared" si="1"/>
        <v>0</v>
      </c>
      <c r="N13" s="13">
        <f t="shared" si="6"/>
        <v>0</v>
      </c>
      <c r="O13" s="12">
        <f t="shared" si="7"/>
        <v>0</v>
      </c>
      <c r="Q13" s="287">
        <v>8</v>
      </c>
      <c r="R13" s="7">
        <f>結果!I113</f>
        <v>0</v>
      </c>
      <c r="S13" s="3"/>
      <c r="T13" s="2">
        <f t="shared" si="12"/>
        <v>0</v>
      </c>
      <c r="U13" s="6">
        <f>(温度条件他根拠!$F$7-温度条件他根拠!$F$9)/(温度条件他根拠!$F$7-28)</f>
        <v>1</v>
      </c>
      <c r="V13" s="2">
        <v>0</v>
      </c>
      <c r="W13" s="7">
        <f>$R$13*T13*U13/1000</f>
        <v>0</v>
      </c>
      <c r="X13" s="7">
        <f>V13*T13*$S$6/1000</f>
        <v>0</v>
      </c>
      <c r="Y13" s="2">
        <f t="shared" ref="Y13:Z13" si="18">Y12</f>
        <v>3.55</v>
      </c>
      <c r="Z13" s="6">
        <f t="shared" si="18"/>
        <v>3.95</v>
      </c>
      <c r="AA13" s="7">
        <f t="shared" si="2"/>
        <v>0</v>
      </c>
      <c r="AB13" s="7">
        <f t="shared" si="3"/>
        <v>0</v>
      </c>
      <c r="AC13" s="13">
        <f t="shared" si="8"/>
        <v>0</v>
      </c>
      <c r="AD13" s="12">
        <f t="shared" si="9"/>
        <v>0</v>
      </c>
    </row>
    <row r="14" spans="2:30">
      <c r="B14" s="4">
        <v>9</v>
      </c>
      <c r="C14" s="3"/>
      <c r="D14" s="3"/>
      <c r="E14" s="2">
        <f t="shared" si="10"/>
        <v>0</v>
      </c>
      <c r="F14" s="6">
        <f>(温度条件他根拠!$F$7-温度条件他根拠!$F$9)/(温度条件他根拠!$F$7-25.9)</f>
        <v>0.56249999999999978</v>
      </c>
      <c r="G14" s="2">
        <v>0</v>
      </c>
      <c r="H14" s="7">
        <f t="shared" si="4"/>
        <v>0</v>
      </c>
      <c r="I14" s="7">
        <f t="shared" si="5"/>
        <v>0</v>
      </c>
      <c r="J14" s="2">
        <f t="shared" si="11"/>
        <v>3.55</v>
      </c>
      <c r="K14" s="6">
        <f t="shared" si="11"/>
        <v>3.95</v>
      </c>
      <c r="L14" s="7">
        <f t="shared" si="0"/>
        <v>0</v>
      </c>
      <c r="M14" s="7">
        <f t="shared" si="1"/>
        <v>0</v>
      </c>
      <c r="N14" s="13">
        <f t="shared" si="6"/>
        <v>0</v>
      </c>
      <c r="O14" s="12">
        <f t="shared" si="7"/>
        <v>0</v>
      </c>
      <c r="Q14" s="287">
        <v>9</v>
      </c>
      <c r="R14" s="3"/>
      <c r="S14" s="3"/>
      <c r="T14" s="2">
        <f t="shared" si="12"/>
        <v>0</v>
      </c>
      <c r="U14" s="6">
        <f>(温度条件他根拠!$F$7-温度条件他根拠!$F$9)/(温度条件他根拠!$F$7-25.9)</f>
        <v>0.56249999999999978</v>
      </c>
      <c r="V14" s="2">
        <v>0</v>
      </c>
      <c r="W14" s="7">
        <f>$R$13*T14*U14/1000</f>
        <v>0</v>
      </c>
      <c r="X14" s="7">
        <f>V14*T14*$S$6/1000</f>
        <v>0</v>
      </c>
      <c r="Y14" s="2">
        <f t="shared" ref="Y14:Z14" si="19">Y13</f>
        <v>3.55</v>
      </c>
      <c r="Z14" s="6">
        <f t="shared" si="19"/>
        <v>3.95</v>
      </c>
      <c r="AA14" s="7">
        <f t="shared" si="2"/>
        <v>0</v>
      </c>
      <c r="AB14" s="7">
        <f t="shared" si="3"/>
        <v>0</v>
      </c>
      <c r="AC14" s="13">
        <f t="shared" si="8"/>
        <v>0</v>
      </c>
      <c r="AD14" s="12">
        <f t="shared" si="9"/>
        <v>0</v>
      </c>
    </row>
    <row r="15" spans="2:30">
      <c r="B15" s="4">
        <v>10</v>
      </c>
      <c r="C15" s="3"/>
      <c r="D15" s="3"/>
      <c r="E15" s="2">
        <f t="shared" si="10"/>
        <v>0</v>
      </c>
      <c r="F15" s="6">
        <f>(温度条件他根拠!$F$7-温度条件他根拠!$F$9)/(温度条件他根拠!$F$7-20.5)</f>
        <v>0.26470588235294112</v>
      </c>
      <c r="G15" s="6">
        <f>(温度条件他根拠!$F$10-10.5)/(温度条件他根拠!$F$10-温度条件他根拠!$F$8)</f>
        <v>0.3925619834710744</v>
      </c>
      <c r="H15" s="689">
        <f>($C$13*E15*F15/1000)*0.25</f>
        <v>0</v>
      </c>
      <c r="I15" s="689">
        <f>(G15*E15*$D$6/1000)*0.25</f>
        <v>0</v>
      </c>
      <c r="J15" s="2">
        <f t="shared" si="11"/>
        <v>3.55</v>
      </c>
      <c r="K15" s="6">
        <f t="shared" si="11"/>
        <v>3.95</v>
      </c>
      <c r="L15" s="7">
        <f t="shared" si="0"/>
        <v>0</v>
      </c>
      <c r="M15" s="7">
        <f t="shared" si="1"/>
        <v>0</v>
      </c>
      <c r="N15" s="13">
        <f t="shared" si="6"/>
        <v>0</v>
      </c>
      <c r="O15" s="12">
        <f t="shared" si="7"/>
        <v>0</v>
      </c>
      <c r="Q15" s="287">
        <v>10</v>
      </c>
      <c r="R15" s="3"/>
      <c r="S15" s="3"/>
      <c r="T15" s="2">
        <f t="shared" si="12"/>
        <v>0</v>
      </c>
      <c r="U15" s="6">
        <f>(温度条件他根拠!$F$7-温度条件他根拠!$F$9)/(温度条件他根拠!$F$7-20.5)</f>
        <v>0.26470588235294112</v>
      </c>
      <c r="V15" s="6">
        <f>(温度条件他根拠!$F$10-10.5)/(温度条件他根拠!$F$10-温度条件他根拠!$F$8)</f>
        <v>0.3925619834710744</v>
      </c>
      <c r="W15" s="689">
        <f>($R$13*T15*U15/1000)*0.25</f>
        <v>0</v>
      </c>
      <c r="X15" s="689">
        <f>(V15*T15*$S$6/1000)*0.25</f>
        <v>0</v>
      </c>
      <c r="Y15" s="2">
        <f t="shared" ref="Y15:Z15" si="20">Y14</f>
        <v>3.55</v>
      </c>
      <c r="Z15" s="6">
        <f t="shared" si="20"/>
        <v>3.95</v>
      </c>
      <c r="AA15" s="7">
        <f t="shared" si="2"/>
        <v>0</v>
      </c>
      <c r="AB15" s="7">
        <f t="shared" si="3"/>
        <v>0</v>
      </c>
      <c r="AC15" s="13">
        <f t="shared" si="8"/>
        <v>0</v>
      </c>
      <c r="AD15" s="12">
        <f t="shared" si="9"/>
        <v>0</v>
      </c>
    </row>
    <row r="16" spans="2:30">
      <c r="B16" s="4">
        <v>11</v>
      </c>
      <c r="C16" s="3"/>
      <c r="D16" s="3"/>
      <c r="E16" s="2">
        <f t="shared" si="10"/>
        <v>0</v>
      </c>
      <c r="F16" s="2">
        <v>0</v>
      </c>
      <c r="G16" s="6">
        <f>(温度条件他根拠!$F$10-3.5)/(温度条件他根拠!$F$10-温度条件他根拠!$F$8)</f>
        <v>0.68181818181818188</v>
      </c>
      <c r="H16" s="7">
        <f t="shared" si="4"/>
        <v>0</v>
      </c>
      <c r="I16" s="7">
        <f t="shared" si="5"/>
        <v>0</v>
      </c>
      <c r="J16" s="2">
        <f t="shared" si="11"/>
        <v>3.55</v>
      </c>
      <c r="K16" s="6">
        <f t="shared" si="11"/>
        <v>3.95</v>
      </c>
      <c r="L16" s="7">
        <f t="shared" si="0"/>
        <v>0</v>
      </c>
      <c r="M16" s="7">
        <f t="shared" si="1"/>
        <v>0</v>
      </c>
      <c r="N16" s="13">
        <f t="shared" si="6"/>
        <v>0</v>
      </c>
      <c r="O16" s="12">
        <f t="shared" si="7"/>
        <v>0</v>
      </c>
      <c r="Q16" s="287">
        <v>11</v>
      </c>
      <c r="R16" s="3"/>
      <c r="S16" s="3"/>
      <c r="T16" s="2">
        <f t="shared" si="12"/>
        <v>0</v>
      </c>
      <c r="U16" s="2">
        <v>0</v>
      </c>
      <c r="V16" s="6">
        <f>(温度条件他根拠!$F$10-3.5)/(温度条件他根拠!$F$10-温度条件他根拠!$F$8)</f>
        <v>0.68181818181818188</v>
      </c>
      <c r="W16" s="7">
        <f>$R$13*T16*U16/1000</f>
        <v>0</v>
      </c>
      <c r="X16" s="7">
        <f>V16*T16*$S$6/1000</f>
        <v>0</v>
      </c>
      <c r="Y16" s="2">
        <f t="shared" ref="Y16:Z16" si="21">Y15</f>
        <v>3.55</v>
      </c>
      <c r="Z16" s="6">
        <f t="shared" si="21"/>
        <v>3.95</v>
      </c>
      <c r="AA16" s="7">
        <f t="shared" si="2"/>
        <v>0</v>
      </c>
      <c r="AB16" s="7">
        <f t="shared" si="3"/>
        <v>0</v>
      </c>
      <c r="AC16" s="13">
        <f t="shared" si="8"/>
        <v>0</v>
      </c>
      <c r="AD16" s="12">
        <f t="shared" si="9"/>
        <v>0</v>
      </c>
    </row>
    <row r="17" spans="2:30">
      <c r="B17" s="4">
        <v>12</v>
      </c>
      <c r="C17" s="3"/>
      <c r="D17" s="3"/>
      <c r="E17" s="2">
        <f t="shared" si="10"/>
        <v>0</v>
      </c>
      <c r="F17" s="2">
        <v>0</v>
      </c>
      <c r="G17" s="6">
        <f>(温度条件他根拠!$F$10--0.2)/(温度条件他根拠!$F$10-温度条件他根拠!$F$8)</f>
        <v>0.83471074380165289</v>
      </c>
      <c r="H17" s="7">
        <f t="shared" si="4"/>
        <v>0</v>
      </c>
      <c r="I17" s="7">
        <f t="shared" si="5"/>
        <v>0</v>
      </c>
      <c r="J17" s="2">
        <f t="shared" si="11"/>
        <v>3.55</v>
      </c>
      <c r="K17" s="6">
        <f t="shared" si="11"/>
        <v>3.95</v>
      </c>
      <c r="L17" s="7">
        <f t="shared" si="0"/>
        <v>0</v>
      </c>
      <c r="M17" s="7">
        <f t="shared" si="1"/>
        <v>0</v>
      </c>
      <c r="N17" s="13">
        <f t="shared" si="6"/>
        <v>0</v>
      </c>
      <c r="O17" s="12">
        <f t="shared" si="7"/>
        <v>0</v>
      </c>
      <c r="Q17" s="287">
        <v>12</v>
      </c>
      <c r="R17" s="3"/>
      <c r="S17" s="3"/>
      <c r="T17" s="2">
        <f t="shared" si="12"/>
        <v>0</v>
      </c>
      <c r="U17" s="2">
        <v>0</v>
      </c>
      <c r="V17" s="6">
        <f>(温度条件他根拠!$F$10--0.2)/(温度条件他根拠!$F$10-温度条件他根拠!$F$8)</f>
        <v>0.83471074380165289</v>
      </c>
      <c r="W17" s="7">
        <f>$R$13*T17*U17/1000</f>
        <v>0</v>
      </c>
      <c r="X17" s="7">
        <f>V17*T17*$S$6/1000</f>
        <v>0</v>
      </c>
      <c r="Y17" s="2">
        <f t="shared" ref="Y17:Z17" si="22">Y16</f>
        <v>3.55</v>
      </c>
      <c r="Z17" s="6">
        <f t="shared" si="22"/>
        <v>3.95</v>
      </c>
      <c r="AA17" s="7">
        <f t="shared" si="2"/>
        <v>0</v>
      </c>
      <c r="AB17" s="7">
        <f t="shared" si="3"/>
        <v>0</v>
      </c>
      <c r="AC17" s="13">
        <f t="shared" si="8"/>
        <v>0</v>
      </c>
      <c r="AD17" s="12">
        <f t="shared" si="9"/>
        <v>0</v>
      </c>
    </row>
    <row r="18" spans="2:30">
      <c r="B18" s="2" t="s">
        <v>1</v>
      </c>
      <c r="C18" s="3"/>
      <c r="D18" s="3"/>
      <c r="E18" s="7">
        <f>SUM(E6:E17)</f>
        <v>0</v>
      </c>
      <c r="F18" s="3"/>
      <c r="G18" s="3"/>
      <c r="H18" s="7">
        <f>SUM(H6:H17)</f>
        <v>0</v>
      </c>
      <c r="I18" s="7">
        <f>SUM(I6:I17)</f>
        <v>0</v>
      </c>
      <c r="J18" s="3"/>
      <c r="K18" s="3"/>
      <c r="L18" s="7">
        <f>SUM(L6:L17)</f>
        <v>0</v>
      </c>
      <c r="M18" s="7">
        <f>SUM(M6:M17)</f>
        <v>0</v>
      </c>
      <c r="N18" s="13">
        <f>SUM(N6:N17)</f>
        <v>0</v>
      </c>
      <c r="O18" s="17">
        <f>SUM(O6:O17)</f>
        <v>0</v>
      </c>
      <c r="Q18" s="2" t="s">
        <v>1</v>
      </c>
      <c r="R18" s="3"/>
      <c r="S18" s="3"/>
      <c r="T18" s="7">
        <f>SUM(T6:T17)</f>
        <v>0</v>
      </c>
      <c r="U18" s="3"/>
      <c r="V18" s="3"/>
      <c r="W18" s="7">
        <f>SUM(W6:W17)</f>
        <v>0</v>
      </c>
      <c r="X18" s="7">
        <f>SUM(X6:X17)</f>
        <v>0</v>
      </c>
      <c r="Y18" s="3"/>
      <c r="Z18" s="3"/>
      <c r="AA18" s="7">
        <f>SUM(AA6:AA17)</f>
        <v>0</v>
      </c>
      <c r="AB18" s="7">
        <f>SUM(AB6:AB17)</f>
        <v>0</v>
      </c>
      <c r="AC18" s="13">
        <f>SUM(AC6:AC17)</f>
        <v>0</v>
      </c>
      <c r="AD18" s="17">
        <f>SUM(AD6:AD17)</f>
        <v>0</v>
      </c>
    </row>
    <row r="20" spans="2:30">
      <c r="B20" s="8" t="s">
        <v>23</v>
      </c>
      <c r="C20" s="9"/>
      <c r="D20" s="9"/>
      <c r="E20" s="10">
        <f>L18+M18</f>
        <v>0</v>
      </c>
      <c r="F20" s="9" t="s">
        <v>13</v>
      </c>
      <c r="G20" s="8" t="s">
        <v>24</v>
      </c>
      <c r="H20" s="11"/>
      <c r="Q20" s="8" t="s">
        <v>572</v>
      </c>
      <c r="R20" s="9"/>
      <c r="S20" s="9"/>
      <c r="T20" s="10">
        <f>AA18+AB18</f>
        <v>0</v>
      </c>
      <c r="U20" s="9" t="s">
        <v>13</v>
      </c>
      <c r="V20" s="8" t="s">
        <v>24</v>
      </c>
      <c r="W20" s="11"/>
      <c r="Y20" s="8" t="s">
        <v>574</v>
      </c>
      <c r="Z20" s="9"/>
      <c r="AA20" s="9"/>
      <c r="AB20" s="290">
        <f>T20-E20</f>
        <v>0</v>
      </c>
      <c r="AC20" s="11" t="s">
        <v>13</v>
      </c>
    </row>
    <row r="21" spans="2:30">
      <c r="B21" s="8" t="s">
        <v>28</v>
      </c>
      <c r="C21" s="9"/>
      <c r="D21" s="9"/>
      <c r="E21" s="16">
        <f>E20*0.495/1000</f>
        <v>0</v>
      </c>
      <c r="F21" s="9" t="s">
        <v>7</v>
      </c>
      <c r="G21" s="8" t="s">
        <v>33</v>
      </c>
      <c r="H21" s="11"/>
      <c r="Q21" s="8" t="s">
        <v>573</v>
      </c>
      <c r="R21" s="9"/>
      <c r="S21" s="9"/>
      <c r="T21" s="16">
        <f>T20*0.495/1000</f>
        <v>0</v>
      </c>
      <c r="U21" s="9" t="s">
        <v>7</v>
      </c>
      <c r="V21" s="8" t="s">
        <v>33</v>
      </c>
      <c r="W21" s="11"/>
      <c r="Y21" s="8" t="s">
        <v>575</v>
      </c>
      <c r="Z21" s="9"/>
      <c r="AA21" s="9"/>
      <c r="AB21" s="290">
        <f>T21-E21</f>
        <v>0</v>
      </c>
      <c r="AC21" s="11" t="s">
        <v>7</v>
      </c>
    </row>
    <row r="43" spans="2:3">
      <c r="B43" s="691">
        <v>43927</v>
      </c>
      <c r="C43" s="690" t="s">
        <v>866</v>
      </c>
    </row>
  </sheetData>
  <mergeCells count="1">
    <mergeCell ref="B2:O2"/>
  </mergeCells>
  <phoneticPr fontId="2"/>
  <pageMargins left="0" right="0" top="0.55118110236220474" bottom="0.15748031496062992" header="0.11811023622047245" footer="0"/>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tabColor rgb="FF00B0F0"/>
  </sheetPr>
  <dimension ref="B1:AD62"/>
  <sheetViews>
    <sheetView topLeftCell="J11" workbookViewId="0">
      <selection activeCell="C67" sqref="C67"/>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5">
      <c r="B1" s="155">
        <f>温度条件他根拠!F6</f>
        <v>3</v>
      </c>
      <c r="C1" s="705" t="str">
        <f ca="1">RIGHT(CELL("filename",C1),LEN(CELL("filename",C1))-FIND("]",CELL("filename",C1)))</f>
        <v>秩父市屋根遮熱</v>
      </c>
    </row>
    <row r="2" spans="2:15">
      <c r="B2" s="2080"/>
      <c r="C2" s="2080"/>
      <c r="D2" s="2080"/>
      <c r="E2" s="2080"/>
      <c r="F2" s="2080"/>
      <c r="G2" s="2080"/>
      <c r="H2" s="2080"/>
      <c r="I2" s="2080"/>
      <c r="J2" s="2080"/>
      <c r="K2" s="2080"/>
      <c r="L2" s="2080"/>
      <c r="M2" s="2080"/>
      <c r="N2" s="2080"/>
      <c r="O2" s="2080"/>
    </row>
    <row r="3" spans="2:15">
      <c r="B3" s="892"/>
      <c r="C3" s="892"/>
      <c r="D3" s="892"/>
      <c r="E3" s="892"/>
      <c r="F3" s="892"/>
      <c r="G3" s="892"/>
      <c r="H3" s="892"/>
      <c r="I3" s="892"/>
      <c r="J3" s="892"/>
      <c r="K3" s="892"/>
      <c r="L3" s="892"/>
      <c r="M3" s="892"/>
      <c r="N3" s="892"/>
      <c r="O3" s="892"/>
    </row>
    <row r="4" spans="2:15">
      <c r="B4" s="820" t="s">
        <v>1093</v>
      </c>
      <c r="C4" s="821"/>
      <c r="D4" s="822"/>
      <c r="E4" s="823"/>
      <c r="F4" s="821"/>
      <c r="G4" s="821"/>
      <c r="H4" s="821"/>
      <c r="I4" s="824"/>
      <c r="J4" s="824"/>
      <c r="K4" s="824"/>
      <c r="L4" s="824"/>
      <c r="M4" s="824"/>
      <c r="N4" s="824"/>
      <c r="O4" s="892"/>
    </row>
    <row r="5" spans="2:15">
      <c r="B5" s="2065" t="s">
        <v>1094</v>
      </c>
      <c r="C5" s="2065"/>
      <c r="D5" s="2065" t="s">
        <v>1095</v>
      </c>
      <c r="E5" s="2065"/>
      <c r="F5" s="2065"/>
      <c r="G5" s="2066" t="s">
        <v>1096</v>
      </c>
      <c r="H5" s="2065" t="s">
        <v>1097</v>
      </c>
      <c r="I5" s="2065"/>
      <c r="J5" s="2065"/>
      <c r="K5" s="2065"/>
      <c r="L5" s="2065"/>
      <c r="M5" s="2065"/>
      <c r="N5" s="2065"/>
      <c r="O5" s="892"/>
    </row>
    <row r="6" spans="2:15">
      <c r="B6" s="2065"/>
      <c r="C6" s="2065"/>
      <c r="D6" s="825" t="s">
        <v>1098</v>
      </c>
      <c r="E6" s="825" t="s">
        <v>1099</v>
      </c>
      <c r="F6" s="825" t="s">
        <v>1100</v>
      </c>
      <c r="G6" s="2065"/>
      <c r="H6" s="2065"/>
      <c r="I6" s="2065"/>
      <c r="J6" s="2065"/>
      <c r="K6" s="2065"/>
      <c r="L6" s="2065"/>
      <c r="M6" s="2065"/>
      <c r="N6" s="2065"/>
      <c r="O6" s="892"/>
    </row>
    <row r="7" spans="2:15">
      <c r="B7" s="826" t="s">
        <v>1101</v>
      </c>
      <c r="C7" s="827" t="s">
        <v>1102</v>
      </c>
      <c r="D7" s="828">
        <f>結果!H30</f>
        <v>0</v>
      </c>
      <c r="E7" s="828">
        <f>結果!J30</f>
        <v>0</v>
      </c>
      <c r="F7" s="828">
        <f>結果!L30</f>
        <v>0</v>
      </c>
      <c r="G7" s="828">
        <f>結果!Q30</f>
        <v>0</v>
      </c>
      <c r="H7" s="2067" t="s">
        <v>1103</v>
      </c>
      <c r="I7" s="2067"/>
      <c r="J7" s="2067"/>
      <c r="K7" s="2067"/>
      <c r="L7" s="2067"/>
      <c r="M7" s="2067"/>
      <c r="N7" s="2067"/>
      <c r="O7" s="892"/>
    </row>
    <row r="8" spans="2:15">
      <c r="B8" s="826" t="s">
        <v>1386</v>
      </c>
      <c r="C8" s="1008"/>
      <c r="D8" s="1005"/>
      <c r="E8" s="1006">
        <f>MAX(D7:F7)</f>
        <v>0</v>
      </c>
      <c r="F8" s="1002"/>
      <c r="G8" s="1002">
        <f>G7</f>
        <v>0</v>
      </c>
      <c r="H8" s="2067"/>
      <c r="I8" s="2067"/>
      <c r="J8" s="2067"/>
      <c r="K8" s="2067"/>
      <c r="L8" s="2067"/>
      <c r="M8" s="2067"/>
      <c r="N8" s="2067"/>
      <c r="O8" s="1016"/>
    </row>
    <row r="9" spans="2:15">
      <c r="B9" s="826" t="s">
        <v>1104</v>
      </c>
      <c r="C9" s="827" t="s">
        <v>1105</v>
      </c>
      <c r="D9" s="828">
        <f>結果!H70</f>
        <v>0</v>
      </c>
      <c r="E9" s="828">
        <f>結果!J70</f>
        <v>0</v>
      </c>
      <c r="F9" s="828">
        <f>結果!L70</f>
        <v>0</v>
      </c>
      <c r="G9" s="829">
        <f>結果!Q70</f>
        <v>0</v>
      </c>
      <c r="H9" s="2067"/>
      <c r="I9" s="2067"/>
      <c r="J9" s="2067"/>
      <c r="K9" s="2067"/>
      <c r="L9" s="2067"/>
      <c r="M9" s="2067"/>
      <c r="N9" s="2067"/>
      <c r="O9" s="892"/>
    </row>
    <row r="10" spans="2:15">
      <c r="B10" s="826" t="s">
        <v>1106</v>
      </c>
      <c r="C10" s="827" t="s">
        <v>1107</v>
      </c>
      <c r="D10" s="829">
        <f>D7-D9</f>
        <v>0</v>
      </c>
      <c r="E10" s="829">
        <f t="shared" ref="E10:G10" si="0">E7-E9</f>
        <v>0</v>
      </c>
      <c r="F10" s="829">
        <f t="shared" si="0"/>
        <v>0</v>
      </c>
      <c r="G10" s="829">
        <f t="shared" si="0"/>
        <v>0</v>
      </c>
      <c r="H10" s="2067"/>
      <c r="I10" s="2067"/>
      <c r="J10" s="2067"/>
      <c r="K10" s="2067"/>
      <c r="L10" s="2067"/>
      <c r="M10" s="2067"/>
      <c r="N10" s="2067"/>
      <c r="O10" s="892"/>
    </row>
    <row r="11" spans="2:15" ht="36">
      <c r="B11" s="1015" t="s">
        <v>1385</v>
      </c>
      <c r="C11" s="830" t="s">
        <v>1108</v>
      </c>
      <c r="D11" s="2068">
        <f>MAX(D10:F10)</f>
        <v>0</v>
      </c>
      <c r="E11" s="2068"/>
      <c r="F11" s="2068"/>
      <c r="G11" s="829">
        <f>MAX(G10)</f>
        <v>0</v>
      </c>
      <c r="H11" s="2067" t="s">
        <v>1109</v>
      </c>
      <c r="I11" s="2067"/>
      <c r="J11" s="2067"/>
      <c r="K11" s="2067"/>
      <c r="L11" s="2067"/>
      <c r="M11" s="2067"/>
      <c r="N11" s="2067"/>
      <c r="O11" s="892"/>
    </row>
    <row r="12" spans="2:15" ht="24">
      <c r="B12" s="830" t="s">
        <v>1110</v>
      </c>
      <c r="C12" s="830" t="s">
        <v>1111</v>
      </c>
      <c r="D12" s="2068">
        <f>温度条件他根拠!C29</f>
        <v>0</v>
      </c>
      <c r="E12" s="2068"/>
      <c r="F12" s="2068"/>
      <c r="G12" s="829">
        <v>0</v>
      </c>
      <c r="H12" s="2067" t="s">
        <v>1112</v>
      </c>
      <c r="I12" s="2067"/>
      <c r="J12" s="2067"/>
      <c r="K12" s="2067"/>
      <c r="L12" s="2067"/>
      <c r="M12" s="2067"/>
      <c r="N12" s="2067"/>
      <c r="O12" s="892"/>
    </row>
    <row r="13" spans="2:15" ht="60">
      <c r="B13" s="830" t="s">
        <v>1113</v>
      </c>
      <c r="C13" s="830" t="s">
        <v>1114</v>
      </c>
      <c r="D13" s="2069">
        <f>D12*D11</f>
        <v>0</v>
      </c>
      <c r="E13" s="2070"/>
      <c r="F13" s="2071"/>
      <c r="G13" s="829">
        <f>G12*G11</f>
        <v>0</v>
      </c>
      <c r="H13" s="2072"/>
      <c r="I13" s="2073"/>
      <c r="J13" s="2073"/>
      <c r="K13" s="2073"/>
      <c r="L13" s="2073"/>
      <c r="M13" s="2073"/>
      <c r="N13" s="2074"/>
      <c r="O13" s="892"/>
    </row>
    <row r="14" spans="2:15">
      <c r="B14" s="892"/>
      <c r="C14" s="892"/>
      <c r="D14" s="892"/>
      <c r="E14" s="892"/>
      <c r="F14" s="892"/>
      <c r="G14" s="892"/>
      <c r="H14" s="892"/>
      <c r="I14" s="892"/>
      <c r="J14" s="892"/>
      <c r="K14" s="892"/>
      <c r="L14" s="892"/>
      <c r="M14" s="892"/>
      <c r="N14" s="892"/>
      <c r="O14" s="892"/>
    </row>
    <row r="15" spans="2:15">
      <c r="B15" s="892"/>
      <c r="C15" s="892"/>
      <c r="D15" s="892"/>
      <c r="E15" s="892"/>
      <c r="F15" s="892"/>
      <c r="G15" s="892"/>
      <c r="H15" s="892"/>
      <c r="I15" s="892"/>
      <c r="J15" s="892"/>
      <c r="K15" s="892"/>
      <c r="L15" s="892"/>
      <c r="M15" s="892"/>
      <c r="N15" s="892"/>
      <c r="O15" s="892"/>
    </row>
    <row r="16" spans="2:15">
      <c r="B16" s="1129" t="s">
        <v>183</v>
      </c>
      <c r="C16" s="1129"/>
      <c r="D16" s="1129"/>
      <c r="E16" s="1129"/>
      <c r="F16" s="1129"/>
      <c r="G16" s="1129"/>
      <c r="H16" s="1129"/>
      <c r="I16" s="1129"/>
      <c r="J16" s="1129"/>
      <c r="K16" s="1129"/>
      <c r="L16" s="1129"/>
      <c r="M16" s="1129"/>
      <c r="N16" s="1129"/>
      <c r="O16" s="1129"/>
    </row>
    <row r="17" spans="2:30" ht="36">
      <c r="B17" s="554" t="s">
        <v>0</v>
      </c>
      <c r="C17" s="814" t="s">
        <v>1117</v>
      </c>
      <c r="D17" s="814" t="s">
        <v>1118</v>
      </c>
      <c r="E17" s="814" t="s">
        <v>1116</v>
      </c>
      <c r="F17" s="20" t="s">
        <v>42</v>
      </c>
      <c r="G17" s="20" t="s">
        <v>43</v>
      </c>
      <c r="H17" s="18" t="s">
        <v>35</v>
      </c>
      <c r="I17" s="18" t="s">
        <v>36</v>
      </c>
      <c r="J17" s="20" t="s">
        <v>2</v>
      </c>
      <c r="K17" s="20" t="s">
        <v>3</v>
      </c>
      <c r="L17" s="20" t="s">
        <v>39</v>
      </c>
      <c r="M17" s="20" t="s">
        <v>38</v>
      </c>
      <c r="N17" s="20" t="s">
        <v>37</v>
      </c>
      <c r="O17" s="20" t="s">
        <v>44</v>
      </c>
      <c r="Q17" s="554" t="s">
        <v>0</v>
      </c>
      <c r="R17" s="1017" t="s">
        <v>1391</v>
      </c>
      <c r="S17" s="1017" t="s">
        <v>1392</v>
      </c>
      <c r="T17" s="1014" t="s">
        <v>1116</v>
      </c>
      <c r="U17" s="20" t="s">
        <v>42</v>
      </c>
      <c r="V17" s="20" t="s">
        <v>43</v>
      </c>
      <c r="W17" s="18" t="s">
        <v>35</v>
      </c>
      <c r="X17" s="18" t="s">
        <v>36</v>
      </c>
      <c r="Y17" s="20" t="s">
        <v>2</v>
      </c>
      <c r="Z17" s="20" t="s">
        <v>3</v>
      </c>
      <c r="AA17" s="20" t="s">
        <v>39</v>
      </c>
      <c r="AB17" s="20" t="s">
        <v>38</v>
      </c>
      <c r="AC17" s="20" t="s">
        <v>37</v>
      </c>
      <c r="AD17" s="20" t="s">
        <v>44</v>
      </c>
    </row>
    <row r="18" spans="2:30" ht="36">
      <c r="B18" s="554" t="s">
        <v>14</v>
      </c>
      <c r="C18" s="20" t="s">
        <v>16</v>
      </c>
      <c r="D18" s="20" t="s">
        <v>17</v>
      </c>
      <c r="E18" s="704" t="s">
        <v>18</v>
      </c>
      <c r="F18" s="20" t="s">
        <v>19</v>
      </c>
      <c r="G18" s="20" t="s">
        <v>20</v>
      </c>
      <c r="H18" s="20" t="s">
        <v>30</v>
      </c>
      <c r="I18" s="20" t="s">
        <v>29</v>
      </c>
      <c r="J18" s="20" t="s">
        <v>21</v>
      </c>
      <c r="K18" s="20" t="s">
        <v>22</v>
      </c>
      <c r="L18" s="20" t="s">
        <v>608</v>
      </c>
      <c r="M18" s="20" t="s">
        <v>607</v>
      </c>
      <c r="N18" s="555" t="s">
        <v>25</v>
      </c>
      <c r="O18" s="20" t="s">
        <v>32</v>
      </c>
      <c r="Q18" s="554" t="s">
        <v>14</v>
      </c>
      <c r="R18" s="1014" t="s">
        <v>1387</v>
      </c>
      <c r="S18" s="1014" t="s">
        <v>1388</v>
      </c>
      <c r="T18" s="704" t="s">
        <v>18</v>
      </c>
      <c r="U18" s="20" t="s">
        <v>19</v>
      </c>
      <c r="V18" s="20" t="s">
        <v>20</v>
      </c>
      <c r="W18" s="20" t="s">
        <v>30</v>
      </c>
      <c r="X18" s="20" t="s">
        <v>29</v>
      </c>
      <c r="Y18" s="20" t="s">
        <v>21</v>
      </c>
      <c r="Z18" s="20" t="s">
        <v>22</v>
      </c>
      <c r="AA18" s="20" t="s">
        <v>608</v>
      </c>
      <c r="AB18" s="20" t="s">
        <v>607</v>
      </c>
      <c r="AC18" s="555" t="s">
        <v>25</v>
      </c>
      <c r="AD18" s="20" t="s">
        <v>32</v>
      </c>
    </row>
    <row r="19" spans="2:30">
      <c r="B19" s="553" t="s">
        <v>15</v>
      </c>
      <c r="C19" s="835" t="s">
        <v>1115</v>
      </c>
      <c r="D19" s="835" t="s">
        <v>1115</v>
      </c>
      <c r="E19" s="835" t="s">
        <v>172</v>
      </c>
      <c r="F19" s="5" t="s">
        <v>10</v>
      </c>
      <c r="G19" s="5" t="s">
        <v>10</v>
      </c>
      <c r="H19" s="5" t="s">
        <v>27</v>
      </c>
      <c r="I19" s="5" t="s">
        <v>27</v>
      </c>
      <c r="J19" s="5" t="s">
        <v>10</v>
      </c>
      <c r="K19" s="5" t="s">
        <v>10</v>
      </c>
      <c r="L19" s="5" t="s">
        <v>27</v>
      </c>
      <c r="M19" s="5" t="s">
        <v>27</v>
      </c>
      <c r="N19" s="5" t="s">
        <v>27</v>
      </c>
      <c r="O19" s="553" t="s">
        <v>31</v>
      </c>
      <c r="Q19" s="553" t="s">
        <v>15</v>
      </c>
      <c r="R19" s="835" t="s">
        <v>1115</v>
      </c>
      <c r="S19" s="835" t="s">
        <v>1115</v>
      </c>
      <c r="T19" s="835" t="s">
        <v>172</v>
      </c>
      <c r="U19" s="5" t="s">
        <v>10</v>
      </c>
      <c r="V19" s="5" t="s">
        <v>10</v>
      </c>
      <c r="W19" s="5" t="s">
        <v>27</v>
      </c>
      <c r="X19" s="5" t="s">
        <v>27</v>
      </c>
      <c r="Y19" s="5" t="s">
        <v>10</v>
      </c>
      <c r="Z19" s="5" t="s">
        <v>10</v>
      </c>
      <c r="AA19" s="5" t="s">
        <v>27</v>
      </c>
      <c r="AB19" s="5" t="s">
        <v>27</v>
      </c>
      <c r="AC19" s="5" t="s">
        <v>27</v>
      </c>
      <c r="AD19" s="553" t="s">
        <v>31</v>
      </c>
    </row>
    <row r="20" spans="2:30">
      <c r="B20" s="553">
        <v>1</v>
      </c>
      <c r="C20" s="3"/>
      <c r="D20" s="836">
        <f>G13</f>
        <v>0</v>
      </c>
      <c r="E20" s="837">
        <f>温度条件他根拠!E21</f>
        <v>0</v>
      </c>
      <c r="F20" s="838">
        <v>0</v>
      </c>
      <c r="G20" s="839">
        <f>0.8*(温度条件他根拠!$F$10-温度条件他根拠!F8)/(温度条件他根拠!$F$10-温度条件他根拠!$F$8)</f>
        <v>0.8</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553">
        <v>1</v>
      </c>
      <c r="R20" s="3"/>
      <c r="S20" s="836">
        <f>G8*G12</f>
        <v>0</v>
      </c>
      <c r="T20" s="837">
        <f>温度条件他根拠!E21</f>
        <v>0</v>
      </c>
      <c r="U20" s="838">
        <f>F20</f>
        <v>0</v>
      </c>
      <c r="V20" s="1001">
        <f>G20</f>
        <v>0.8</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553">
        <v>2</v>
      </c>
      <c r="C21" s="3"/>
      <c r="D21" s="3"/>
      <c r="E21" s="838">
        <f>E20</f>
        <v>0</v>
      </c>
      <c r="F21" s="838">
        <v>0</v>
      </c>
      <c r="G21" s="839">
        <f>0.8*(温度条件他根拠!$F$10--3.3)/(温度条件他根拠!$F$10-温度条件他根拠!$F$8)</f>
        <v>0.77024793388429758</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553">
        <v>2</v>
      </c>
      <c r="R21" s="3"/>
      <c r="S21" s="3"/>
      <c r="T21" s="838">
        <f>T20</f>
        <v>0</v>
      </c>
      <c r="U21" s="838">
        <f t="shared" ref="U21:V31" si="9">F21</f>
        <v>0</v>
      </c>
      <c r="V21" s="1001">
        <f t="shared" si="9"/>
        <v>0.77024793388429758</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553">
        <v>3</v>
      </c>
      <c r="C22" s="3"/>
      <c r="D22" s="3"/>
      <c r="E22" s="838">
        <f t="shared" ref="E22:E31" si="12">E21</f>
        <v>0</v>
      </c>
      <c r="F22" s="838">
        <v>0</v>
      </c>
      <c r="G22" s="839">
        <f>0.8*(温度条件他根拠!$F$10-0.2)/(温度条件他根拠!$F$10-温度条件他根拠!$F$8)</f>
        <v>0.65454545454545465</v>
      </c>
      <c r="H22" s="7">
        <f t="shared" si="5"/>
        <v>0</v>
      </c>
      <c r="I22" s="7">
        <f t="shared" si="6"/>
        <v>0</v>
      </c>
      <c r="J22" s="2">
        <f t="shared" ref="J22:K31" si="13">J21</f>
        <v>3.55</v>
      </c>
      <c r="K22" s="6">
        <f t="shared" si="13"/>
        <v>3.95</v>
      </c>
      <c r="L22" s="7">
        <f t="shared" si="1"/>
        <v>0</v>
      </c>
      <c r="M22" s="7">
        <f t="shared" si="1"/>
        <v>0</v>
      </c>
      <c r="N22" s="13">
        <f t="shared" si="7"/>
        <v>0</v>
      </c>
      <c r="O22" s="12">
        <f t="shared" si="8"/>
        <v>0</v>
      </c>
      <c r="Q22" s="553">
        <v>3</v>
      </c>
      <c r="R22" s="3"/>
      <c r="S22" s="3"/>
      <c r="T22" s="838">
        <f t="shared" ref="T22:T31" si="14">T21</f>
        <v>0</v>
      </c>
      <c r="U22" s="838">
        <f t="shared" si="9"/>
        <v>0</v>
      </c>
      <c r="V22" s="1001">
        <f t="shared" si="9"/>
        <v>0.65454545454545465</v>
      </c>
      <c r="W22" s="7">
        <f t="shared" si="2"/>
        <v>0</v>
      </c>
      <c r="X22" s="7">
        <f t="shared" si="3"/>
        <v>0</v>
      </c>
      <c r="Y22" s="2">
        <f t="shared" ref="Y22:Z31" si="15">Y21</f>
        <v>3.55</v>
      </c>
      <c r="Z22" s="6">
        <f t="shared" si="15"/>
        <v>3.95</v>
      </c>
      <c r="AA22" s="7">
        <f t="shared" si="4"/>
        <v>0</v>
      </c>
      <c r="AB22" s="7">
        <f t="shared" si="4"/>
        <v>0</v>
      </c>
      <c r="AC22" s="13">
        <f t="shared" si="10"/>
        <v>0</v>
      </c>
      <c r="AD22" s="12">
        <f t="shared" si="11"/>
        <v>0</v>
      </c>
    </row>
    <row r="23" spans="2:30">
      <c r="B23" s="553">
        <v>4</v>
      </c>
      <c r="C23" s="3"/>
      <c r="D23" s="3"/>
      <c r="E23" s="838">
        <f t="shared" si="12"/>
        <v>0</v>
      </c>
      <c r="F23" s="838">
        <v>0</v>
      </c>
      <c r="G23" s="839">
        <f>0.8*(温度条件他根拠!$F$10-5.8)/(温度条件他根拠!$F$10-温度条件他根拠!$F$8)</f>
        <v>0.46942148760330576</v>
      </c>
      <c r="H23" s="7">
        <f t="shared" si="5"/>
        <v>0</v>
      </c>
      <c r="I23" s="7">
        <f t="shared" si="6"/>
        <v>0</v>
      </c>
      <c r="J23" s="2">
        <f t="shared" si="13"/>
        <v>3.55</v>
      </c>
      <c r="K23" s="6">
        <f t="shared" si="13"/>
        <v>3.95</v>
      </c>
      <c r="L23" s="7">
        <f t="shared" si="1"/>
        <v>0</v>
      </c>
      <c r="M23" s="7">
        <f t="shared" si="1"/>
        <v>0</v>
      </c>
      <c r="N23" s="13">
        <f t="shared" si="7"/>
        <v>0</v>
      </c>
      <c r="O23" s="12">
        <f t="shared" si="8"/>
        <v>0</v>
      </c>
      <c r="Q23" s="553">
        <v>4</v>
      </c>
      <c r="R23" s="3"/>
      <c r="S23" s="3"/>
      <c r="T23" s="838">
        <f t="shared" si="14"/>
        <v>0</v>
      </c>
      <c r="U23" s="838">
        <f t="shared" si="9"/>
        <v>0</v>
      </c>
      <c r="V23" s="1001">
        <f t="shared" si="9"/>
        <v>0.46942148760330576</v>
      </c>
      <c r="W23" s="7">
        <f t="shared" si="2"/>
        <v>0</v>
      </c>
      <c r="X23" s="7">
        <f t="shared" si="3"/>
        <v>0</v>
      </c>
      <c r="Y23" s="2">
        <f t="shared" si="15"/>
        <v>3.55</v>
      </c>
      <c r="Z23" s="6">
        <f t="shared" si="15"/>
        <v>3.95</v>
      </c>
      <c r="AA23" s="7">
        <f t="shared" si="4"/>
        <v>0</v>
      </c>
      <c r="AB23" s="7">
        <f t="shared" si="4"/>
        <v>0</v>
      </c>
      <c r="AC23" s="13">
        <f t="shared" si="10"/>
        <v>0</v>
      </c>
      <c r="AD23" s="12">
        <f t="shared" si="11"/>
        <v>0</v>
      </c>
    </row>
    <row r="24" spans="2:30">
      <c r="B24" s="553">
        <v>5</v>
      </c>
      <c r="C24" s="3"/>
      <c r="D24" s="3"/>
      <c r="E24" s="838">
        <f t="shared" si="12"/>
        <v>0</v>
      </c>
      <c r="F24" s="839">
        <f>0.175*(温度条件他根拠!$F$7-温度条件他根拠!$F$9)/(温度条件他根拠!$F$7-23.1)</f>
        <v>6.2171052631578946E-2</v>
      </c>
      <c r="G24" s="839">
        <f>0.2*(温度条件他根拠!$F$10-11.2)/(温度条件他根拠!$F$10-温度条件他根拠!$F$8)</f>
        <v>7.2727272727272738E-2</v>
      </c>
      <c r="H24" s="836">
        <f>$C$27*E24*F24/1000</f>
        <v>0</v>
      </c>
      <c r="I24" s="836">
        <f>G24*E24*$D$20/1000</f>
        <v>0</v>
      </c>
      <c r="J24" s="2">
        <f t="shared" si="13"/>
        <v>3.55</v>
      </c>
      <c r="K24" s="6">
        <f t="shared" si="13"/>
        <v>3.95</v>
      </c>
      <c r="L24" s="7">
        <f t="shared" si="1"/>
        <v>0</v>
      </c>
      <c r="M24" s="7">
        <f t="shared" si="1"/>
        <v>0</v>
      </c>
      <c r="N24" s="13">
        <f t="shared" si="7"/>
        <v>0</v>
      </c>
      <c r="O24" s="12">
        <f t="shared" si="8"/>
        <v>0</v>
      </c>
      <c r="Q24" s="553">
        <v>5</v>
      </c>
      <c r="R24" s="3"/>
      <c r="S24" s="3"/>
      <c r="T24" s="838">
        <f t="shared" si="14"/>
        <v>0</v>
      </c>
      <c r="U24" s="1001">
        <f t="shared" si="9"/>
        <v>6.2171052631578946E-2</v>
      </c>
      <c r="V24" s="1001">
        <f t="shared" si="9"/>
        <v>7.2727272727272738E-2</v>
      </c>
      <c r="W24" s="836">
        <f t="shared" si="2"/>
        <v>0</v>
      </c>
      <c r="X24" s="836">
        <f t="shared" si="3"/>
        <v>0</v>
      </c>
      <c r="Y24" s="2">
        <f t="shared" si="15"/>
        <v>3.55</v>
      </c>
      <c r="Z24" s="6">
        <f t="shared" si="15"/>
        <v>3.95</v>
      </c>
      <c r="AA24" s="7">
        <f t="shared" si="4"/>
        <v>0</v>
      </c>
      <c r="AB24" s="7">
        <f t="shared" si="4"/>
        <v>0</v>
      </c>
      <c r="AC24" s="13">
        <f t="shared" si="10"/>
        <v>0</v>
      </c>
      <c r="AD24" s="12">
        <f t="shared" si="11"/>
        <v>0</v>
      </c>
    </row>
    <row r="25" spans="2:30">
      <c r="B25" s="553">
        <v>6</v>
      </c>
      <c r="C25" s="3"/>
      <c r="D25" s="3"/>
      <c r="E25" s="838">
        <f t="shared" si="12"/>
        <v>0</v>
      </c>
      <c r="F25" s="839">
        <f>0.7*(温度条件他根拠!$F$7-温度条件他根拠!$F$9)/(温度条件他根拠!$F$7-25.5)</f>
        <v>0.36346153846153839</v>
      </c>
      <c r="G25" s="838">
        <v>0</v>
      </c>
      <c r="H25" s="7">
        <f t="shared" si="5"/>
        <v>0</v>
      </c>
      <c r="I25" s="7">
        <f t="shared" si="6"/>
        <v>0</v>
      </c>
      <c r="J25" s="2">
        <f t="shared" si="13"/>
        <v>3.55</v>
      </c>
      <c r="K25" s="6">
        <f t="shared" si="13"/>
        <v>3.95</v>
      </c>
      <c r="L25" s="7">
        <f t="shared" si="1"/>
        <v>0</v>
      </c>
      <c r="M25" s="7">
        <f t="shared" si="1"/>
        <v>0</v>
      </c>
      <c r="N25" s="13">
        <f t="shared" si="7"/>
        <v>0</v>
      </c>
      <c r="O25" s="12">
        <f t="shared" si="8"/>
        <v>0</v>
      </c>
      <c r="Q25" s="553">
        <v>6</v>
      </c>
      <c r="R25" s="3"/>
      <c r="S25" s="3"/>
      <c r="T25" s="838">
        <f t="shared" si="14"/>
        <v>0</v>
      </c>
      <c r="U25" s="1001">
        <f t="shared" si="9"/>
        <v>0.36346153846153839</v>
      </c>
      <c r="V25" s="838">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553">
        <v>7</v>
      </c>
      <c r="C26" s="3"/>
      <c r="D26" s="3"/>
      <c r="E26" s="838">
        <f t="shared" si="12"/>
        <v>0</v>
      </c>
      <c r="F26" s="839">
        <f>0.7*(温度条件他根拠!$F$7-温度条件他根拠!$F$9)/(温度条件他根拠!$F$7-28)</f>
        <v>0.7</v>
      </c>
      <c r="G26" s="838">
        <v>0</v>
      </c>
      <c r="H26" s="7">
        <f t="shared" si="5"/>
        <v>0</v>
      </c>
      <c r="I26" s="7">
        <f t="shared" si="6"/>
        <v>0</v>
      </c>
      <c r="J26" s="2">
        <f t="shared" si="13"/>
        <v>3.55</v>
      </c>
      <c r="K26" s="6">
        <f t="shared" si="13"/>
        <v>3.95</v>
      </c>
      <c r="L26" s="7">
        <f t="shared" si="1"/>
        <v>0</v>
      </c>
      <c r="M26" s="7">
        <f t="shared" si="1"/>
        <v>0</v>
      </c>
      <c r="N26" s="13">
        <f t="shared" si="7"/>
        <v>0</v>
      </c>
      <c r="O26" s="12">
        <f t="shared" si="8"/>
        <v>0</v>
      </c>
      <c r="Q26" s="553">
        <v>7</v>
      </c>
      <c r="R26" s="3"/>
      <c r="S26" s="3"/>
      <c r="T26" s="838">
        <f t="shared" si="14"/>
        <v>0</v>
      </c>
      <c r="U26" s="1001">
        <f t="shared" si="9"/>
        <v>0.7</v>
      </c>
      <c r="V26" s="838">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553">
        <v>8</v>
      </c>
      <c r="C27" s="836">
        <f>D13</f>
        <v>0</v>
      </c>
      <c r="D27" s="3"/>
      <c r="E27" s="838">
        <f t="shared" si="12"/>
        <v>0</v>
      </c>
      <c r="F27" s="839">
        <f>0.7*(温度条件他根拠!$F$7-温度条件他根拠!$F$9)/(温度条件他根拠!$F$7-28)</f>
        <v>0.7</v>
      </c>
      <c r="G27" s="838">
        <v>0</v>
      </c>
      <c r="H27" s="7">
        <f t="shared" si="5"/>
        <v>0</v>
      </c>
      <c r="I27" s="7">
        <f t="shared" si="6"/>
        <v>0</v>
      </c>
      <c r="J27" s="2">
        <f t="shared" si="13"/>
        <v>3.55</v>
      </c>
      <c r="K27" s="6">
        <f t="shared" si="13"/>
        <v>3.95</v>
      </c>
      <c r="L27" s="7">
        <f t="shared" si="1"/>
        <v>0</v>
      </c>
      <c r="M27" s="7">
        <f t="shared" si="1"/>
        <v>0</v>
      </c>
      <c r="N27" s="13">
        <f t="shared" si="7"/>
        <v>0</v>
      </c>
      <c r="O27" s="12">
        <f t="shared" si="8"/>
        <v>0</v>
      </c>
      <c r="Q27" s="553">
        <v>8</v>
      </c>
      <c r="R27" s="836">
        <f>E8*D12</f>
        <v>0</v>
      </c>
      <c r="S27" s="3"/>
      <c r="T27" s="838">
        <f t="shared" si="14"/>
        <v>0</v>
      </c>
      <c r="U27" s="1001">
        <f t="shared" si="9"/>
        <v>0.7</v>
      </c>
      <c r="V27" s="838">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553">
        <v>9</v>
      </c>
      <c r="C28" s="3"/>
      <c r="D28" s="3"/>
      <c r="E28" s="838">
        <f t="shared" si="12"/>
        <v>0</v>
      </c>
      <c r="F28" s="839">
        <f>0.7*(温度条件他根拠!$F$7-温度条件他根拠!$F$9)/(温度条件他根拠!$F$7-25.9)</f>
        <v>0.39374999999999982</v>
      </c>
      <c r="G28" s="838">
        <v>0</v>
      </c>
      <c r="H28" s="7">
        <f t="shared" si="5"/>
        <v>0</v>
      </c>
      <c r="I28" s="7">
        <f t="shared" si="6"/>
        <v>0</v>
      </c>
      <c r="J28" s="2">
        <f t="shared" si="13"/>
        <v>3.55</v>
      </c>
      <c r="K28" s="6">
        <f t="shared" si="13"/>
        <v>3.95</v>
      </c>
      <c r="L28" s="7">
        <f t="shared" si="1"/>
        <v>0</v>
      </c>
      <c r="M28" s="7">
        <f t="shared" si="1"/>
        <v>0</v>
      </c>
      <c r="N28" s="13">
        <f t="shared" si="7"/>
        <v>0</v>
      </c>
      <c r="O28" s="12">
        <f t="shared" si="8"/>
        <v>0</v>
      </c>
      <c r="Q28" s="553">
        <v>9</v>
      </c>
      <c r="R28" s="3"/>
      <c r="S28" s="3"/>
      <c r="T28" s="838">
        <f t="shared" si="14"/>
        <v>0</v>
      </c>
      <c r="U28" s="1001">
        <f t="shared" si="9"/>
        <v>0.39374999999999982</v>
      </c>
      <c r="V28" s="838">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553">
        <v>10</v>
      </c>
      <c r="C29" s="3"/>
      <c r="D29" s="3"/>
      <c r="E29" s="838">
        <f t="shared" si="12"/>
        <v>0</v>
      </c>
      <c r="F29" s="839">
        <f>0.175*(温度条件他根拠!$F$7-温度条件他根拠!$F$9)/(温度条件他根拠!$F$7-20.5)</f>
        <v>4.6323529411764694E-2</v>
      </c>
      <c r="G29" s="839">
        <f>0.2*(温度条件他根拠!$F$10-10.5)/(温度条件他根拠!$F$10-温度条件他根拠!$F$8)</f>
        <v>7.8512396694214878E-2</v>
      </c>
      <c r="H29" s="836">
        <f>$C$27*E29*F29/1000</f>
        <v>0</v>
      </c>
      <c r="I29" s="836">
        <f>G29*E29*$D$20/1000</f>
        <v>0</v>
      </c>
      <c r="J29" s="2">
        <f t="shared" si="13"/>
        <v>3.55</v>
      </c>
      <c r="K29" s="6">
        <f t="shared" si="13"/>
        <v>3.95</v>
      </c>
      <c r="L29" s="7">
        <f t="shared" si="1"/>
        <v>0</v>
      </c>
      <c r="M29" s="7">
        <f t="shared" si="1"/>
        <v>0</v>
      </c>
      <c r="N29" s="13">
        <f t="shared" si="7"/>
        <v>0</v>
      </c>
      <c r="O29" s="12">
        <f t="shared" si="8"/>
        <v>0</v>
      </c>
      <c r="Q29" s="553">
        <v>10</v>
      </c>
      <c r="R29" s="3"/>
      <c r="S29" s="3"/>
      <c r="T29" s="838">
        <f t="shared" si="14"/>
        <v>0</v>
      </c>
      <c r="U29" s="1001">
        <f t="shared" si="9"/>
        <v>4.6323529411764694E-2</v>
      </c>
      <c r="V29" s="1001">
        <f t="shared" si="9"/>
        <v>7.8512396694214878E-2</v>
      </c>
      <c r="W29" s="836">
        <f>($R$27*T29*U29/1000)</f>
        <v>0</v>
      </c>
      <c r="X29" s="836">
        <f>(V29*T29*$S$20/1000)</f>
        <v>0</v>
      </c>
      <c r="Y29" s="2">
        <f t="shared" si="15"/>
        <v>3.55</v>
      </c>
      <c r="Z29" s="6">
        <f t="shared" si="15"/>
        <v>3.95</v>
      </c>
      <c r="AA29" s="7">
        <f t="shared" si="4"/>
        <v>0</v>
      </c>
      <c r="AB29" s="7">
        <f t="shared" si="4"/>
        <v>0</v>
      </c>
      <c r="AC29" s="13">
        <f t="shared" si="10"/>
        <v>0</v>
      </c>
      <c r="AD29" s="12">
        <f t="shared" si="11"/>
        <v>0</v>
      </c>
    </row>
    <row r="30" spans="2:30">
      <c r="B30" s="553">
        <v>11</v>
      </c>
      <c r="C30" s="3"/>
      <c r="D30" s="3"/>
      <c r="E30" s="838">
        <f t="shared" si="12"/>
        <v>0</v>
      </c>
      <c r="F30" s="838">
        <v>0</v>
      </c>
      <c r="G30" s="839">
        <f>0.8*(温度条件他根拠!$F$10-3.5)/(温度条件他根拠!$F$10-温度条件他根拠!$F$8)</f>
        <v>0.54545454545454553</v>
      </c>
      <c r="H30" s="7">
        <f t="shared" si="5"/>
        <v>0</v>
      </c>
      <c r="I30" s="7">
        <f t="shared" si="6"/>
        <v>0</v>
      </c>
      <c r="J30" s="2">
        <f t="shared" si="13"/>
        <v>3.55</v>
      </c>
      <c r="K30" s="6">
        <f t="shared" si="13"/>
        <v>3.95</v>
      </c>
      <c r="L30" s="7">
        <f t="shared" si="1"/>
        <v>0</v>
      </c>
      <c r="M30" s="7">
        <f t="shared" si="1"/>
        <v>0</v>
      </c>
      <c r="N30" s="13">
        <f t="shared" si="7"/>
        <v>0</v>
      </c>
      <c r="O30" s="12">
        <f t="shared" si="8"/>
        <v>0</v>
      </c>
      <c r="Q30" s="553">
        <v>11</v>
      </c>
      <c r="R30" s="3"/>
      <c r="S30" s="3"/>
      <c r="T30" s="838">
        <f t="shared" si="14"/>
        <v>0</v>
      </c>
      <c r="U30" s="838">
        <f t="shared" si="9"/>
        <v>0</v>
      </c>
      <c r="V30" s="1001">
        <f t="shared" si="9"/>
        <v>0.54545454545454553</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553">
        <v>12</v>
      </c>
      <c r="C31" s="3"/>
      <c r="D31" s="3"/>
      <c r="E31" s="838">
        <f t="shared" si="12"/>
        <v>0</v>
      </c>
      <c r="F31" s="838">
        <v>0</v>
      </c>
      <c r="G31" s="839">
        <f>0.8*(温度条件他根拠!$F$10--0.2)/(温度条件他根拠!$F$10-温度条件他根拠!$F$8)</f>
        <v>0.66776859504132235</v>
      </c>
      <c r="H31" s="7">
        <f t="shared" si="5"/>
        <v>0</v>
      </c>
      <c r="I31" s="7">
        <f t="shared" si="6"/>
        <v>0</v>
      </c>
      <c r="J31" s="2">
        <f t="shared" si="13"/>
        <v>3.55</v>
      </c>
      <c r="K31" s="6">
        <f t="shared" si="13"/>
        <v>3.95</v>
      </c>
      <c r="L31" s="7">
        <f t="shared" si="1"/>
        <v>0</v>
      </c>
      <c r="M31" s="7">
        <f t="shared" si="1"/>
        <v>0</v>
      </c>
      <c r="N31" s="13">
        <f t="shared" si="7"/>
        <v>0</v>
      </c>
      <c r="O31" s="12">
        <f t="shared" si="8"/>
        <v>0</v>
      </c>
      <c r="Q31" s="553">
        <v>12</v>
      </c>
      <c r="R31" s="3"/>
      <c r="S31" s="3"/>
      <c r="T31" s="838">
        <f t="shared" si="14"/>
        <v>0</v>
      </c>
      <c r="U31" s="838">
        <f t="shared" si="9"/>
        <v>0</v>
      </c>
      <c r="V31" s="1001">
        <f t="shared" si="9"/>
        <v>0.66776859504132235</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836">
        <f>SUM(E20:E31)</f>
        <v>0</v>
      </c>
      <c r="F32" s="3"/>
      <c r="G32" s="3"/>
      <c r="H32" s="7">
        <f>SUM(H20:H31)</f>
        <v>0</v>
      </c>
      <c r="I32" s="7">
        <f>SUM(I20:I31)</f>
        <v>0</v>
      </c>
      <c r="J32" s="3"/>
      <c r="K32" s="3"/>
      <c r="L32" s="7">
        <f>SUM(L20:L31)</f>
        <v>0</v>
      </c>
      <c r="M32" s="7">
        <f>SUM(M20:M31)</f>
        <v>0</v>
      </c>
      <c r="N32" s="13">
        <f>SUM(N20:N31)</f>
        <v>0</v>
      </c>
      <c r="O32" s="17">
        <f>SUM(O20:O31)</f>
        <v>0</v>
      </c>
      <c r="Q32" s="2" t="s">
        <v>1</v>
      </c>
      <c r="R32" s="3"/>
      <c r="S32" s="3"/>
      <c r="T32" s="836">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1079</v>
      </c>
    </row>
    <row r="57" spans="2:3">
      <c r="B57" s="691">
        <v>43927</v>
      </c>
      <c r="C57" s="690" t="s">
        <v>866</v>
      </c>
    </row>
    <row r="58" spans="2:3">
      <c r="B58" s="691">
        <v>44634</v>
      </c>
      <c r="C58" s="690" t="s">
        <v>1119</v>
      </c>
    </row>
    <row r="59" spans="2:3">
      <c r="C59" s="690" t="s">
        <v>1120</v>
      </c>
    </row>
    <row r="60" spans="2:3">
      <c r="C60" s="1" t="s">
        <v>1121</v>
      </c>
    </row>
    <row r="61" spans="2:3">
      <c r="C61" s="1" t="s">
        <v>1133</v>
      </c>
    </row>
    <row r="62" spans="2:3">
      <c r="C62" s="1" t="s">
        <v>1134</v>
      </c>
    </row>
  </sheetData>
  <mergeCells count="13">
    <mergeCell ref="B2:O2"/>
    <mergeCell ref="B16:O16"/>
    <mergeCell ref="B5:C6"/>
    <mergeCell ref="D5:F5"/>
    <mergeCell ref="G5:G6"/>
    <mergeCell ref="H5:N6"/>
    <mergeCell ref="H7:N10"/>
    <mergeCell ref="D11:F11"/>
    <mergeCell ref="H11:N11"/>
    <mergeCell ref="D12:F12"/>
    <mergeCell ref="H12:N12"/>
    <mergeCell ref="D13:F13"/>
    <mergeCell ref="H13:N13"/>
  </mergeCells>
  <phoneticPr fontId="2"/>
  <pageMargins left="0" right="0" top="0.55118110236220474" bottom="0.15748031496062992" header="0.11811023622047245" footer="0"/>
  <pageSetup paperSize="9" orientation="landscape" r:id="rId1"/>
  <ignoredErrors>
    <ignoredError sqref="W29:X29" 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CA76-B83D-4BC4-A436-71EA054B35D8}">
  <sheetPr codeName="Sheet34">
    <tabColor rgb="FF00B0F0"/>
  </sheetPr>
  <dimension ref="B1:AD62"/>
  <sheetViews>
    <sheetView topLeftCell="L17" workbookViewId="0">
      <selection activeCell="C67" sqref="C67"/>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5">
      <c r="B1" s="155">
        <f>温度条件他根拠!F6</f>
        <v>3</v>
      </c>
      <c r="C1" s="705" t="str">
        <f ca="1">RIGHT(CELL("filename",C1),LEN(CELL("filename",C1))-FIND("]",CELL("filename",C1)))</f>
        <v>秩父市屋根断熱</v>
      </c>
    </row>
    <row r="2" spans="2:15">
      <c r="B2" s="2080"/>
      <c r="C2" s="2080"/>
      <c r="D2" s="2080"/>
      <c r="E2" s="2080"/>
      <c r="F2" s="2080"/>
      <c r="G2" s="2080"/>
      <c r="H2" s="2080"/>
      <c r="I2" s="2080"/>
      <c r="J2" s="2080"/>
      <c r="K2" s="2080"/>
      <c r="L2" s="2080"/>
      <c r="M2" s="2080"/>
      <c r="N2" s="2080"/>
      <c r="O2" s="2080"/>
    </row>
    <row r="3" spans="2:15">
      <c r="B3" s="892"/>
      <c r="C3" s="892"/>
      <c r="D3" s="892"/>
      <c r="E3" s="892"/>
      <c r="F3" s="892"/>
      <c r="G3" s="892"/>
      <c r="H3" s="892"/>
      <c r="I3" s="892"/>
      <c r="J3" s="892"/>
      <c r="K3" s="892"/>
      <c r="L3" s="892"/>
      <c r="M3" s="892"/>
      <c r="N3" s="892"/>
      <c r="O3" s="892"/>
    </row>
    <row r="4" spans="2:15">
      <c r="B4" s="820" t="s">
        <v>1093</v>
      </c>
      <c r="C4" s="821"/>
      <c r="D4" s="822"/>
      <c r="E4" s="823"/>
      <c r="F4" s="821"/>
      <c r="G4" s="821"/>
      <c r="H4" s="821"/>
      <c r="I4" s="824"/>
      <c r="J4" s="824"/>
      <c r="K4" s="824"/>
      <c r="L4" s="824"/>
      <c r="M4" s="824"/>
      <c r="N4" s="824"/>
      <c r="O4" s="892"/>
    </row>
    <row r="5" spans="2:15">
      <c r="B5" s="2065" t="s">
        <v>1094</v>
      </c>
      <c r="C5" s="2065"/>
      <c r="D5" s="2065" t="s">
        <v>1095</v>
      </c>
      <c r="E5" s="2065"/>
      <c r="F5" s="2065"/>
      <c r="G5" s="2066" t="s">
        <v>1096</v>
      </c>
      <c r="H5" s="2065" t="s">
        <v>1097</v>
      </c>
      <c r="I5" s="2065"/>
      <c r="J5" s="2065"/>
      <c r="K5" s="2065"/>
      <c r="L5" s="2065"/>
      <c r="M5" s="2065"/>
      <c r="N5" s="2065"/>
      <c r="O5" s="892"/>
    </row>
    <row r="6" spans="2:15">
      <c r="B6" s="2065"/>
      <c r="C6" s="2065"/>
      <c r="D6" s="825" t="s">
        <v>1098</v>
      </c>
      <c r="E6" s="825" t="s">
        <v>1099</v>
      </c>
      <c r="F6" s="825" t="s">
        <v>1100</v>
      </c>
      <c r="G6" s="2065"/>
      <c r="H6" s="2065"/>
      <c r="I6" s="2065"/>
      <c r="J6" s="2065"/>
      <c r="K6" s="2065"/>
      <c r="L6" s="2065"/>
      <c r="M6" s="2065"/>
      <c r="N6" s="2065"/>
      <c r="O6" s="892"/>
    </row>
    <row r="7" spans="2:15" ht="13" customHeight="1">
      <c r="B7" s="826" t="s">
        <v>1101</v>
      </c>
      <c r="C7" s="827" t="s">
        <v>1102</v>
      </c>
      <c r="D7" s="828">
        <f>結果!H30</f>
        <v>0</v>
      </c>
      <c r="E7" s="828">
        <f>結果!J30</f>
        <v>0</v>
      </c>
      <c r="F7" s="828">
        <f>結果!L30</f>
        <v>0</v>
      </c>
      <c r="G7" s="828">
        <f>結果!Q30</f>
        <v>0</v>
      </c>
      <c r="H7" s="2067" t="s">
        <v>1158</v>
      </c>
      <c r="I7" s="2067"/>
      <c r="J7" s="2067"/>
      <c r="K7" s="2067"/>
      <c r="L7" s="2067"/>
      <c r="M7" s="2067"/>
      <c r="N7" s="2067"/>
      <c r="O7" s="892"/>
    </row>
    <row r="8" spans="2:15" ht="13" customHeight="1">
      <c r="B8" s="826" t="s">
        <v>1386</v>
      </c>
      <c r="C8" s="1008"/>
      <c r="D8" s="1005"/>
      <c r="E8" s="1006">
        <f>MAX(D7:F7)</f>
        <v>0</v>
      </c>
      <c r="F8" s="1002"/>
      <c r="G8" s="1002">
        <f>G7</f>
        <v>0</v>
      </c>
      <c r="H8" s="2067"/>
      <c r="I8" s="2067"/>
      <c r="J8" s="2067"/>
      <c r="K8" s="2067"/>
      <c r="L8" s="2067"/>
      <c r="M8" s="2067"/>
      <c r="N8" s="2067"/>
      <c r="O8" s="1016"/>
    </row>
    <row r="9" spans="2:15">
      <c r="B9" s="826" t="s">
        <v>1104</v>
      </c>
      <c r="C9" s="827" t="s">
        <v>1105</v>
      </c>
      <c r="D9" s="828">
        <f>結果!H70</f>
        <v>0</v>
      </c>
      <c r="E9" s="828">
        <f>結果!J70</f>
        <v>0</v>
      </c>
      <c r="F9" s="828">
        <f>結果!L70</f>
        <v>0</v>
      </c>
      <c r="G9" s="829">
        <f>結果!Q70</f>
        <v>0</v>
      </c>
      <c r="H9" s="2067"/>
      <c r="I9" s="2067"/>
      <c r="J9" s="2067"/>
      <c r="K9" s="2067"/>
      <c r="L9" s="2067"/>
      <c r="M9" s="2067"/>
      <c r="N9" s="2067"/>
      <c r="O9" s="892"/>
    </row>
    <row r="10" spans="2:15">
      <c r="B10" s="826" t="s">
        <v>1106</v>
      </c>
      <c r="C10" s="827" t="s">
        <v>1107</v>
      </c>
      <c r="D10" s="829">
        <f>D7-D9</f>
        <v>0</v>
      </c>
      <c r="E10" s="829">
        <f t="shared" ref="E10:G10" si="0">E7-E9</f>
        <v>0</v>
      </c>
      <c r="F10" s="829">
        <f t="shared" si="0"/>
        <v>0</v>
      </c>
      <c r="G10" s="829">
        <f t="shared" si="0"/>
        <v>0</v>
      </c>
      <c r="H10" s="2067"/>
      <c r="I10" s="2067"/>
      <c r="J10" s="2067"/>
      <c r="K10" s="2067"/>
      <c r="L10" s="2067"/>
      <c r="M10" s="2067"/>
      <c r="N10" s="2067"/>
      <c r="O10" s="892"/>
    </row>
    <row r="11" spans="2:15" ht="36">
      <c r="B11" s="1015" t="s">
        <v>1385</v>
      </c>
      <c r="C11" s="830" t="s">
        <v>1108</v>
      </c>
      <c r="D11" s="2068">
        <f>MAX(D10:F10)</f>
        <v>0</v>
      </c>
      <c r="E11" s="2068"/>
      <c r="F11" s="2068"/>
      <c r="G11" s="829">
        <f>MAX(G10)</f>
        <v>0</v>
      </c>
      <c r="H11" s="2067" t="s">
        <v>1109</v>
      </c>
      <c r="I11" s="2067"/>
      <c r="J11" s="2067"/>
      <c r="K11" s="2067"/>
      <c r="L11" s="2067"/>
      <c r="M11" s="2067"/>
      <c r="N11" s="2067"/>
      <c r="O11" s="892"/>
    </row>
    <row r="12" spans="2:15" ht="24" customHeight="1">
      <c r="B12" s="830" t="s">
        <v>1110</v>
      </c>
      <c r="C12" s="830" t="s">
        <v>1141</v>
      </c>
      <c r="D12" s="2068">
        <f>温度条件他根拠!E29</f>
        <v>0</v>
      </c>
      <c r="E12" s="2068"/>
      <c r="F12" s="2068"/>
      <c r="G12" s="829">
        <f>D12</f>
        <v>0</v>
      </c>
      <c r="H12" s="2075" t="s">
        <v>1135</v>
      </c>
      <c r="I12" s="2075"/>
      <c r="J12" s="2075"/>
      <c r="K12" s="2075"/>
      <c r="L12" s="2075"/>
      <c r="M12" s="2075"/>
      <c r="N12" s="2075"/>
      <c r="O12" s="892"/>
    </row>
    <row r="13" spans="2:15" ht="60">
      <c r="B13" s="830" t="s">
        <v>1113</v>
      </c>
      <c r="C13" s="830" t="s">
        <v>1114</v>
      </c>
      <c r="D13" s="2069">
        <f>D12*D11</f>
        <v>0</v>
      </c>
      <c r="E13" s="2070"/>
      <c r="F13" s="2071"/>
      <c r="G13" s="829">
        <f>G12*G11</f>
        <v>0</v>
      </c>
      <c r="H13" s="2072"/>
      <c r="I13" s="2073"/>
      <c r="J13" s="2073"/>
      <c r="K13" s="2073"/>
      <c r="L13" s="2073"/>
      <c r="M13" s="2073"/>
      <c r="N13" s="2074"/>
      <c r="O13" s="892"/>
    </row>
    <row r="14" spans="2:15">
      <c r="B14" s="892"/>
      <c r="C14" s="892"/>
      <c r="D14" s="892"/>
      <c r="E14" s="892"/>
      <c r="F14" s="892"/>
      <c r="G14" s="892"/>
      <c r="H14" s="892"/>
      <c r="I14" s="892"/>
      <c r="J14" s="892"/>
      <c r="K14" s="892"/>
      <c r="L14" s="892"/>
      <c r="M14" s="892"/>
      <c r="N14" s="892"/>
      <c r="O14" s="892"/>
    </row>
    <row r="15" spans="2:15">
      <c r="B15" s="892"/>
      <c r="C15" s="892"/>
      <c r="D15" s="892"/>
      <c r="E15" s="892"/>
      <c r="F15" s="892"/>
      <c r="G15" s="892"/>
      <c r="H15" s="892"/>
      <c r="I15" s="892"/>
      <c r="J15" s="892"/>
      <c r="K15" s="892"/>
      <c r="L15" s="892"/>
      <c r="M15" s="892"/>
      <c r="N15" s="892"/>
      <c r="O15" s="892"/>
    </row>
    <row r="16" spans="2:15">
      <c r="B16" s="1129" t="s">
        <v>183</v>
      </c>
      <c r="C16" s="1129"/>
      <c r="D16" s="1129"/>
      <c r="E16" s="1129"/>
      <c r="F16" s="1129"/>
      <c r="G16" s="1129"/>
      <c r="H16" s="1129"/>
      <c r="I16" s="1129"/>
      <c r="J16" s="1129"/>
      <c r="K16" s="1129"/>
      <c r="L16" s="1129"/>
      <c r="M16" s="1129"/>
      <c r="N16" s="1129"/>
      <c r="O16" s="1129"/>
    </row>
    <row r="17" spans="2:30" ht="36">
      <c r="B17" s="801" t="s">
        <v>0</v>
      </c>
      <c r="C17" s="814" t="s">
        <v>1117</v>
      </c>
      <c r="D17" s="814" t="s">
        <v>1118</v>
      </c>
      <c r="E17" s="814" t="s">
        <v>1116</v>
      </c>
      <c r="F17" s="20" t="s">
        <v>42</v>
      </c>
      <c r="G17" s="20" t="s">
        <v>43</v>
      </c>
      <c r="H17" s="18" t="s">
        <v>35</v>
      </c>
      <c r="I17" s="18" t="s">
        <v>36</v>
      </c>
      <c r="J17" s="20" t="s">
        <v>2</v>
      </c>
      <c r="K17" s="20" t="s">
        <v>3</v>
      </c>
      <c r="L17" s="20" t="s">
        <v>39</v>
      </c>
      <c r="M17" s="20" t="s">
        <v>38</v>
      </c>
      <c r="N17" s="20" t="s">
        <v>37</v>
      </c>
      <c r="O17" s="20" t="s">
        <v>44</v>
      </c>
      <c r="Q17" s="801" t="s">
        <v>0</v>
      </c>
      <c r="R17" s="1017" t="s">
        <v>1391</v>
      </c>
      <c r="S17" s="1017" t="s">
        <v>1392</v>
      </c>
      <c r="T17" s="1014" t="s">
        <v>1116</v>
      </c>
      <c r="U17" s="20" t="s">
        <v>42</v>
      </c>
      <c r="V17" s="20" t="s">
        <v>43</v>
      </c>
      <c r="W17" s="18" t="s">
        <v>35</v>
      </c>
      <c r="X17" s="18" t="s">
        <v>36</v>
      </c>
      <c r="Y17" s="20" t="s">
        <v>2</v>
      </c>
      <c r="Z17" s="20" t="s">
        <v>3</v>
      </c>
      <c r="AA17" s="20" t="s">
        <v>39</v>
      </c>
      <c r="AB17" s="20" t="s">
        <v>38</v>
      </c>
      <c r="AC17" s="20" t="s">
        <v>37</v>
      </c>
      <c r="AD17" s="20" t="s">
        <v>44</v>
      </c>
    </row>
    <row r="18" spans="2:30" ht="36">
      <c r="B18" s="801" t="s">
        <v>14</v>
      </c>
      <c r="C18" s="20" t="s">
        <v>16</v>
      </c>
      <c r="D18" s="20" t="s">
        <v>17</v>
      </c>
      <c r="E18" s="704" t="s">
        <v>18</v>
      </c>
      <c r="F18" s="20" t="s">
        <v>19</v>
      </c>
      <c r="G18" s="20" t="s">
        <v>20</v>
      </c>
      <c r="H18" s="20" t="s">
        <v>30</v>
      </c>
      <c r="I18" s="20" t="s">
        <v>29</v>
      </c>
      <c r="J18" s="20" t="s">
        <v>21</v>
      </c>
      <c r="K18" s="20" t="s">
        <v>22</v>
      </c>
      <c r="L18" s="20" t="s">
        <v>608</v>
      </c>
      <c r="M18" s="20" t="s">
        <v>607</v>
      </c>
      <c r="N18" s="802" t="s">
        <v>25</v>
      </c>
      <c r="O18" s="20" t="s">
        <v>32</v>
      </c>
      <c r="Q18" s="801" t="s">
        <v>14</v>
      </c>
      <c r="R18" s="20" t="s">
        <v>16</v>
      </c>
      <c r="S18" s="20" t="s">
        <v>17</v>
      </c>
      <c r="T18" s="704" t="s">
        <v>18</v>
      </c>
      <c r="U18" s="20" t="s">
        <v>19</v>
      </c>
      <c r="V18" s="20" t="s">
        <v>20</v>
      </c>
      <c r="W18" s="20" t="s">
        <v>30</v>
      </c>
      <c r="X18" s="20" t="s">
        <v>29</v>
      </c>
      <c r="Y18" s="20" t="s">
        <v>21</v>
      </c>
      <c r="Z18" s="20" t="s">
        <v>22</v>
      </c>
      <c r="AA18" s="20" t="s">
        <v>608</v>
      </c>
      <c r="AB18" s="20" t="s">
        <v>607</v>
      </c>
      <c r="AC18" s="802" t="s">
        <v>25</v>
      </c>
      <c r="AD18" s="20" t="s">
        <v>32</v>
      </c>
    </row>
    <row r="19" spans="2:30">
      <c r="B19" s="798" t="s">
        <v>15</v>
      </c>
      <c r="C19" s="835" t="s">
        <v>1115</v>
      </c>
      <c r="D19" s="835" t="s">
        <v>1115</v>
      </c>
      <c r="E19" s="835" t="s">
        <v>172</v>
      </c>
      <c r="F19" s="5" t="s">
        <v>10</v>
      </c>
      <c r="G19" s="5" t="s">
        <v>10</v>
      </c>
      <c r="H19" s="5" t="s">
        <v>27</v>
      </c>
      <c r="I19" s="5" t="s">
        <v>27</v>
      </c>
      <c r="J19" s="5" t="s">
        <v>10</v>
      </c>
      <c r="K19" s="5" t="s">
        <v>10</v>
      </c>
      <c r="L19" s="5" t="s">
        <v>27</v>
      </c>
      <c r="M19" s="5" t="s">
        <v>27</v>
      </c>
      <c r="N19" s="5" t="s">
        <v>27</v>
      </c>
      <c r="O19" s="798" t="s">
        <v>31</v>
      </c>
      <c r="Q19" s="798" t="s">
        <v>15</v>
      </c>
      <c r="R19" s="835" t="s">
        <v>1115</v>
      </c>
      <c r="S19" s="835" t="s">
        <v>1115</v>
      </c>
      <c r="T19" s="835" t="s">
        <v>172</v>
      </c>
      <c r="U19" s="5" t="s">
        <v>10</v>
      </c>
      <c r="V19" s="5" t="s">
        <v>10</v>
      </c>
      <c r="W19" s="5" t="s">
        <v>27</v>
      </c>
      <c r="X19" s="5" t="s">
        <v>27</v>
      </c>
      <c r="Y19" s="5" t="s">
        <v>10</v>
      </c>
      <c r="Z19" s="5" t="s">
        <v>10</v>
      </c>
      <c r="AA19" s="5" t="s">
        <v>27</v>
      </c>
      <c r="AB19" s="5" t="s">
        <v>27</v>
      </c>
      <c r="AC19" s="5" t="s">
        <v>27</v>
      </c>
      <c r="AD19" s="798" t="s">
        <v>31</v>
      </c>
    </row>
    <row r="20" spans="2:30">
      <c r="B20" s="798">
        <v>1</v>
      </c>
      <c r="C20" s="3"/>
      <c r="D20" s="836">
        <f>G13</f>
        <v>0</v>
      </c>
      <c r="E20" s="837">
        <f>温度条件他根拠!E21</f>
        <v>0</v>
      </c>
      <c r="F20" s="838">
        <v>0</v>
      </c>
      <c r="G20" s="839">
        <f>0.8*(温度条件他根拠!$F$10-温度条件他根拠!F8)/(温度条件他根拠!$F$10-温度条件他根拠!$F$8)</f>
        <v>0.8</v>
      </c>
      <c r="H20" s="7">
        <f>$C$27*E20*F20/1000</f>
        <v>0</v>
      </c>
      <c r="I20" s="7">
        <f>G20*E20*$D$20/1000</f>
        <v>0</v>
      </c>
      <c r="J20" s="6">
        <f>温度条件他根拠!C61</f>
        <v>3.55</v>
      </c>
      <c r="K20" s="6">
        <f>温度条件他根拠!C62</f>
        <v>3.95</v>
      </c>
      <c r="L20" s="7">
        <f t="shared" ref="L20:M31" si="1">H20/J20</f>
        <v>0</v>
      </c>
      <c r="M20" s="7">
        <f t="shared" si="1"/>
        <v>0</v>
      </c>
      <c r="N20" s="13">
        <f>L20+M20</f>
        <v>0</v>
      </c>
      <c r="O20" s="12">
        <f>N20*0.495/1000</f>
        <v>0</v>
      </c>
      <c r="Q20" s="798">
        <v>1</v>
      </c>
      <c r="R20" s="3"/>
      <c r="S20" s="836">
        <f>G8*G12</f>
        <v>0</v>
      </c>
      <c r="T20" s="837">
        <f>温度条件他根拠!E21</f>
        <v>0</v>
      </c>
      <c r="U20" s="838">
        <f>F20</f>
        <v>0</v>
      </c>
      <c r="V20" s="1001">
        <f>G20</f>
        <v>0.8</v>
      </c>
      <c r="W20" s="7">
        <f t="shared" ref="W20:W28" si="2">$R$27*T20*U20/1000</f>
        <v>0</v>
      </c>
      <c r="X20" s="7">
        <f t="shared" ref="X20:X28" si="3">V20*T20*$S$20/1000</f>
        <v>0</v>
      </c>
      <c r="Y20" s="6">
        <f>温度条件他根拠!C61</f>
        <v>3.55</v>
      </c>
      <c r="Z20" s="6">
        <f>温度条件他根拠!C62</f>
        <v>3.95</v>
      </c>
      <c r="AA20" s="7">
        <f t="shared" ref="AA20:AB31" si="4">W20/Y20</f>
        <v>0</v>
      </c>
      <c r="AB20" s="7">
        <f t="shared" si="4"/>
        <v>0</v>
      </c>
      <c r="AC20" s="13">
        <f>AA20+AB20</f>
        <v>0</v>
      </c>
      <c r="AD20" s="12">
        <f>AC20*0.495/1000</f>
        <v>0</v>
      </c>
    </row>
    <row r="21" spans="2:30">
      <c r="B21" s="798">
        <v>2</v>
      </c>
      <c r="C21" s="3"/>
      <c r="D21" s="3"/>
      <c r="E21" s="838">
        <f>E20</f>
        <v>0</v>
      </c>
      <c r="F21" s="838">
        <v>0</v>
      </c>
      <c r="G21" s="839">
        <f>0.8*(温度条件他根拠!$F$10--3.3)/(温度条件他根拠!$F$10-温度条件他根拠!$F$8)</f>
        <v>0.77024793388429758</v>
      </c>
      <c r="H21" s="7">
        <f t="shared" ref="H21:H31" si="5">$C$27*E21*F21/1000</f>
        <v>0</v>
      </c>
      <c r="I21" s="7">
        <f t="shared" ref="I21:I31" si="6">G21*E21*$D$20/1000</f>
        <v>0</v>
      </c>
      <c r="J21" s="2">
        <f>J20</f>
        <v>3.55</v>
      </c>
      <c r="K21" s="6">
        <f>K20</f>
        <v>3.95</v>
      </c>
      <c r="L21" s="7">
        <f t="shared" si="1"/>
        <v>0</v>
      </c>
      <c r="M21" s="7">
        <f t="shared" si="1"/>
        <v>0</v>
      </c>
      <c r="N21" s="13">
        <f t="shared" ref="N21:N31" si="7">L21+M21</f>
        <v>0</v>
      </c>
      <c r="O21" s="12">
        <f t="shared" ref="O21:O31" si="8">N21*0.495/1000</f>
        <v>0</v>
      </c>
      <c r="Q21" s="798">
        <v>2</v>
      </c>
      <c r="R21" s="3"/>
      <c r="S21" s="3"/>
      <c r="T21" s="838">
        <f>T20</f>
        <v>0</v>
      </c>
      <c r="U21" s="838">
        <f t="shared" ref="U21:V31" si="9">F21</f>
        <v>0</v>
      </c>
      <c r="V21" s="1001">
        <f t="shared" si="9"/>
        <v>0.77024793388429758</v>
      </c>
      <c r="W21" s="7">
        <f t="shared" si="2"/>
        <v>0</v>
      </c>
      <c r="X21" s="7">
        <f t="shared" si="3"/>
        <v>0</v>
      </c>
      <c r="Y21" s="2">
        <f>Y20</f>
        <v>3.55</v>
      </c>
      <c r="Z21" s="6">
        <f>Z20</f>
        <v>3.95</v>
      </c>
      <c r="AA21" s="7">
        <f t="shared" si="4"/>
        <v>0</v>
      </c>
      <c r="AB21" s="7">
        <f t="shared" si="4"/>
        <v>0</v>
      </c>
      <c r="AC21" s="13">
        <f t="shared" ref="AC21:AC31" si="10">AA21+AB21</f>
        <v>0</v>
      </c>
      <c r="AD21" s="12">
        <f t="shared" ref="AD21:AD31" si="11">AC21*0.495/1000</f>
        <v>0</v>
      </c>
    </row>
    <row r="22" spans="2:30">
      <c r="B22" s="798">
        <v>3</v>
      </c>
      <c r="C22" s="3"/>
      <c r="D22" s="3"/>
      <c r="E22" s="838">
        <f t="shared" ref="E22:E31" si="12">E21</f>
        <v>0</v>
      </c>
      <c r="F22" s="838">
        <v>0</v>
      </c>
      <c r="G22" s="839">
        <f>0.8*(温度条件他根拠!$F$10-0.2)/(温度条件他根拠!$F$10-温度条件他根拠!$F$8)</f>
        <v>0.65454545454545465</v>
      </c>
      <c r="H22" s="7">
        <f t="shared" si="5"/>
        <v>0</v>
      </c>
      <c r="I22" s="7">
        <f t="shared" si="6"/>
        <v>0</v>
      </c>
      <c r="J22" s="2">
        <f t="shared" ref="J22:K31" si="13">J21</f>
        <v>3.55</v>
      </c>
      <c r="K22" s="6">
        <f t="shared" si="13"/>
        <v>3.95</v>
      </c>
      <c r="L22" s="7">
        <f t="shared" si="1"/>
        <v>0</v>
      </c>
      <c r="M22" s="7">
        <f t="shared" si="1"/>
        <v>0</v>
      </c>
      <c r="N22" s="13">
        <f t="shared" si="7"/>
        <v>0</v>
      </c>
      <c r="O22" s="12">
        <f t="shared" si="8"/>
        <v>0</v>
      </c>
      <c r="Q22" s="798">
        <v>3</v>
      </c>
      <c r="R22" s="3"/>
      <c r="S22" s="3"/>
      <c r="T22" s="838">
        <f t="shared" ref="T22:T31" si="14">T21</f>
        <v>0</v>
      </c>
      <c r="U22" s="838">
        <f t="shared" si="9"/>
        <v>0</v>
      </c>
      <c r="V22" s="1001">
        <f t="shared" si="9"/>
        <v>0.65454545454545465</v>
      </c>
      <c r="W22" s="7">
        <f t="shared" si="2"/>
        <v>0</v>
      </c>
      <c r="X22" s="7">
        <f t="shared" si="3"/>
        <v>0</v>
      </c>
      <c r="Y22" s="2">
        <f t="shared" ref="Y22:Z31" si="15">Y21</f>
        <v>3.55</v>
      </c>
      <c r="Z22" s="6">
        <f t="shared" si="15"/>
        <v>3.95</v>
      </c>
      <c r="AA22" s="7">
        <f t="shared" si="4"/>
        <v>0</v>
      </c>
      <c r="AB22" s="7">
        <f t="shared" si="4"/>
        <v>0</v>
      </c>
      <c r="AC22" s="13">
        <f t="shared" si="10"/>
        <v>0</v>
      </c>
      <c r="AD22" s="12">
        <f t="shared" si="11"/>
        <v>0</v>
      </c>
    </row>
    <row r="23" spans="2:30">
      <c r="B23" s="798">
        <v>4</v>
      </c>
      <c r="C23" s="3"/>
      <c r="D23" s="3"/>
      <c r="E23" s="838">
        <f t="shared" si="12"/>
        <v>0</v>
      </c>
      <c r="F23" s="838">
        <v>0</v>
      </c>
      <c r="G23" s="839">
        <f>0.8*(温度条件他根拠!$F$10-5.8)/(温度条件他根拠!$F$10-温度条件他根拠!$F$8)</f>
        <v>0.46942148760330576</v>
      </c>
      <c r="H23" s="7">
        <f t="shared" si="5"/>
        <v>0</v>
      </c>
      <c r="I23" s="7">
        <f t="shared" si="6"/>
        <v>0</v>
      </c>
      <c r="J23" s="2">
        <f t="shared" si="13"/>
        <v>3.55</v>
      </c>
      <c r="K23" s="6">
        <f t="shared" si="13"/>
        <v>3.95</v>
      </c>
      <c r="L23" s="7">
        <f t="shared" si="1"/>
        <v>0</v>
      </c>
      <c r="M23" s="7">
        <f t="shared" si="1"/>
        <v>0</v>
      </c>
      <c r="N23" s="13">
        <f t="shared" si="7"/>
        <v>0</v>
      </c>
      <c r="O23" s="12">
        <f t="shared" si="8"/>
        <v>0</v>
      </c>
      <c r="Q23" s="798">
        <v>4</v>
      </c>
      <c r="R23" s="3"/>
      <c r="S23" s="3"/>
      <c r="T23" s="838">
        <f t="shared" si="14"/>
        <v>0</v>
      </c>
      <c r="U23" s="838">
        <f t="shared" si="9"/>
        <v>0</v>
      </c>
      <c r="V23" s="1001">
        <f t="shared" si="9"/>
        <v>0.46942148760330576</v>
      </c>
      <c r="W23" s="7">
        <f t="shared" si="2"/>
        <v>0</v>
      </c>
      <c r="X23" s="7">
        <f t="shared" si="3"/>
        <v>0</v>
      </c>
      <c r="Y23" s="2">
        <f t="shared" si="15"/>
        <v>3.55</v>
      </c>
      <c r="Z23" s="6">
        <f t="shared" si="15"/>
        <v>3.95</v>
      </c>
      <c r="AA23" s="7">
        <f t="shared" si="4"/>
        <v>0</v>
      </c>
      <c r="AB23" s="7">
        <f t="shared" si="4"/>
        <v>0</v>
      </c>
      <c r="AC23" s="13">
        <f t="shared" si="10"/>
        <v>0</v>
      </c>
      <c r="AD23" s="12">
        <f t="shared" si="11"/>
        <v>0</v>
      </c>
    </row>
    <row r="24" spans="2:30">
      <c r="B24" s="798">
        <v>5</v>
      </c>
      <c r="C24" s="3"/>
      <c r="D24" s="3"/>
      <c r="E24" s="838">
        <f t="shared" si="12"/>
        <v>0</v>
      </c>
      <c r="F24" s="839">
        <f>0.175*(温度条件他根拠!$F$7-温度条件他根拠!$F$9)/(温度条件他根拠!$F$7-23.1)</f>
        <v>6.2171052631578946E-2</v>
      </c>
      <c r="G24" s="839">
        <f>0.2*(温度条件他根拠!$F$10-11.2)/(温度条件他根拠!$F$10-温度条件他根拠!$F$8)</f>
        <v>7.2727272727272738E-2</v>
      </c>
      <c r="H24" s="836">
        <f>$C$27*E24*F24/1000</f>
        <v>0</v>
      </c>
      <c r="I24" s="836">
        <f>G24*E24*$D$20/1000</f>
        <v>0</v>
      </c>
      <c r="J24" s="2">
        <f t="shared" si="13"/>
        <v>3.55</v>
      </c>
      <c r="K24" s="6">
        <f t="shared" si="13"/>
        <v>3.95</v>
      </c>
      <c r="L24" s="7">
        <f t="shared" si="1"/>
        <v>0</v>
      </c>
      <c r="M24" s="7">
        <f t="shared" si="1"/>
        <v>0</v>
      </c>
      <c r="N24" s="13">
        <f t="shared" si="7"/>
        <v>0</v>
      </c>
      <c r="O24" s="12">
        <f t="shared" si="8"/>
        <v>0</v>
      </c>
      <c r="Q24" s="798">
        <v>5</v>
      </c>
      <c r="R24" s="3"/>
      <c r="S24" s="3"/>
      <c r="T24" s="838">
        <f t="shared" si="14"/>
        <v>0</v>
      </c>
      <c r="U24" s="1001">
        <f t="shared" si="9"/>
        <v>6.2171052631578946E-2</v>
      </c>
      <c r="V24" s="1001">
        <f t="shared" si="9"/>
        <v>7.2727272727272738E-2</v>
      </c>
      <c r="W24" s="836">
        <f t="shared" si="2"/>
        <v>0</v>
      </c>
      <c r="X24" s="836">
        <f t="shared" si="3"/>
        <v>0</v>
      </c>
      <c r="Y24" s="2">
        <f t="shared" si="15"/>
        <v>3.55</v>
      </c>
      <c r="Z24" s="6">
        <f t="shared" si="15"/>
        <v>3.95</v>
      </c>
      <c r="AA24" s="7">
        <f t="shared" si="4"/>
        <v>0</v>
      </c>
      <c r="AB24" s="7">
        <f t="shared" si="4"/>
        <v>0</v>
      </c>
      <c r="AC24" s="13">
        <f t="shared" si="10"/>
        <v>0</v>
      </c>
      <c r="AD24" s="12">
        <f t="shared" si="11"/>
        <v>0</v>
      </c>
    </row>
    <row r="25" spans="2:30">
      <c r="B25" s="798">
        <v>6</v>
      </c>
      <c r="C25" s="3"/>
      <c r="D25" s="3"/>
      <c r="E25" s="838">
        <f t="shared" si="12"/>
        <v>0</v>
      </c>
      <c r="F25" s="839">
        <f>0.7*(温度条件他根拠!$F$7-温度条件他根拠!$F$9)/(温度条件他根拠!$F$7-25.5)</f>
        <v>0.36346153846153839</v>
      </c>
      <c r="G25" s="838">
        <v>0</v>
      </c>
      <c r="H25" s="7">
        <f t="shared" si="5"/>
        <v>0</v>
      </c>
      <c r="I25" s="7">
        <f t="shared" si="6"/>
        <v>0</v>
      </c>
      <c r="J25" s="2">
        <f t="shared" si="13"/>
        <v>3.55</v>
      </c>
      <c r="K25" s="6">
        <f t="shared" si="13"/>
        <v>3.95</v>
      </c>
      <c r="L25" s="7">
        <f t="shared" si="1"/>
        <v>0</v>
      </c>
      <c r="M25" s="7">
        <f t="shared" si="1"/>
        <v>0</v>
      </c>
      <c r="N25" s="13">
        <f t="shared" si="7"/>
        <v>0</v>
      </c>
      <c r="O25" s="12">
        <f t="shared" si="8"/>
        <v>0</v>
      </c>
      <c r="Q25" s="798">
        <v>6</v>
      </c>
      <c r="R25" s="3"/>
      <c r="S25" s="3"/>
      <c r="T25" s="838">
        <f t="shared" si="14"/>
        <v>0</v>
      </c>
      <c r="U25" s="1001">
        <f t="shared" si="9"/>
        <v>0.36346153846153839</v>
      </c>
      <c r="V25" s="838">
        <f t="shared" si="9"/>
        <v>0</v>
      </c>
      <c r="W25" s="7">
        <f t="shared" si="2"/>
        <v>0</v>
      </c>
      <c r="X25" s="7">
        <f t="shared" si="3"/>
        <v>0</v>
      </c>
      <c r="Y25" s="2">
        <f t="shared" si="15"/>
        <v>3.55</v>
      </c>
      <c r="Z25" s="6">
        <f t="shared" si="15"/>
        <v>3.95</v>
      </c>
      <c r="AA25" s="7">
        <f t="shared" si="4"/>
        <v>0</v>
      </c>
      <c r="AB25" s="7">
        <f t="shared" si="4"/>
        <v>0</v>
      </c>
      <c r="AC25" s="13">
        <f t="shared" si="10"/>
        <v>0</v>
      </c>
      <c r="AD25" s="12">
        <f t="shared" si="11"/>
        <v>0</v>
      </c>
    </row>
    <row r="26" spans="2:30">
      <c r="B26" s="798">
        <v>7</v>
      </c>
      <c r="C26" s="3"/>
      <c r="D26" s="3"/>
      <c r="E26" s="838">
        <f t="shared" si="12"/>
        <v>0</v>
      </c>
      <c r="F26" s="839">
        <f>0.7*(温度条件他根拠!$F$7-温度条件他根拠!$F$9)/(温度条件他根拠!$F$7-28)</f>
        <v>0.7</v>
      </c>
      <c r="G26" s="838">
        <v>0</v>
      </c>
      <c r="H26" s="7">
        <f t="shared" si="5"/>
        <v>0</v>
      </c>
      <c r="I26" s="7">
        <f t="shared" si="6"/>
        <v>0</v>
      </c>
      <c r="J26" s="2">
        <f t="shared" si="13"/>
        <v>3.55</v>
      </c>
      <c r="K26" s="6">
        <f t="shared" si="13"/>
        <v>3.95</v>
      </c>
      <c r="L26" s="7">
        <f t="shared" si="1"/>
        <v>0</v>
      </c>
      <c r="M26" s="7">
        <f t="shared" si="1"/>
        <v>0</v>
      </c>
      <c r="N26" s="13">
        <f t="shared" si="7"/>
        <v>0</v>
      </c>
      <c r="O26" s="12">
        <f t="shared" si="8"/>
        <v>0</v>
      </c>
      <c r="Q26" s="798">
        <v>7</v>
      </c>
      <c r="R26" s="3"/>
      <c r="S26" s="3"/>
      <c r="T26" s="838">
        <f t="shared" si="14"/>
        <v>0</v>
      </c>
      <c r="U26" s="1001">
        <f t="shared" si="9"/>
        <v>0.7</v>
      </c>
      <c r="V26" s="838">
        <f t="shared" si="9"/>
        <v>0</v>
      </c>
      <c r="W26" s="7">
        <f t="shared" si="2"/>
        <v>0</v>
      </c>
      <c r="X26" s="7">
        <f t="shared" si="3"/>
        <v>0</v>
      </c>
      <c r="Y26" s="2">
        <f t="shared" si="15"/>
        <v>3.55</v>
      </c>
      <c r="Z26" s="6">
        <f t="shared" si="15"/>
        <v>3.95</v>
      </c>
      <c r="AA26" s="7">
        <f t="shared" si="4"/>
        <v>0</v>
      </c>
      <c r="AB26" s="7">
        <f t="shared" si="4"/>
        <v>0</v>
      </c>
      <c r="AC26" s="13">
        <f t="shared" si="10"/>
        <v>0</v>
      </c>
      <c r="AD26" s="12">
        <f t="shared" si="11"/>
        <v>0</v>
      </c>
    </row>
    <row r="27" spans="2:30">
      <c r="B27" s="798">
        <v>8</v>
      </c>
      <c r="C27" s="836">
        <f>D13</f>
        <v>0</v>
      </c>
      <c r="D27" s="3"/>
      <c r="E27" s="838">
        <f t="shared" si="12"/>
        <v>0</v>
      </c>
      <c r="F27" s="839">
        <f>0.7*(温度条件他根拠!$F$7-温度条件他根拠!$F$9)/(温度条件他根拠!$F$7-28)</f>
        <v>0.7</v>
      </c>
      <c r="G27" s="838">
        <v>0</v>
      </c>
      <c r="H27" s="7">
        <f t="shared" si="5"/>
        <v>0</v>
      </c>
      <c r="I27" s="7">
        <f t="shared" si="6"/>
        <v>0</v>
      </c>
      <c r="J27" s="2">
        <f t="shared" si="13"/>
        <v>3.55</v>
      </c>
      <c r="K27" s="6">
        <f t="shared" si="13"/>
        <v>3.95</v>
      </c>
      <c r="L27" s="7">
        <f t="shared" si="1"/>
        <v>0</v>
      </c>
      <c r="M27" s="7">
        <f t="shared" si="1"/>
        <v>0</v>
      </c>
      <c r="N27" s="13">
        <f t="shared" si="7"/>
        <v>0</v>
      </c>
      <c r="O27" s="12">
        <f t="shared" si="8"/>
        <v>0</v>
      </c>
      <c r="Q27" s="798">
        <v>8</v>
      </c>
      <c r="R27" s="836">
        <f>E8*D12</f>
        <v>0</v>
      </c>
      <c r="S27" s="3"/>
      <c r="T27" s="838">
        <f t="shared" si="14"/>
        <v>0</v>
      </c>
      <c r="U27" s="1001">
        <f t="shared" si="9"/>
        <v>0.7</v>
      </c>
      <c r="V27" s="838">
        <f t="shared" si="9"/>
        <v>0</v>
      </c>
      <c r="W27" s="7">
        <f t="shared" si="2"/>
        <v>0</v>
      </c>
      <c r="X27" s="7">
        <f t="shared" si="3"/>
        <v>0</v>
      </c>
      <c r="Y27" s="2">
        <f t="shared" si="15"/>
        <v>3.55</v>
      </c>
      <c r="Z27" s="6">
        <f t="shared" si="15"/>
        <v>3.95</v>
      </c>
      <c r="AA27" s="7">
        <f t="shared" si="4"/>
        <v>0</v>
      </c>
      <c r="AB27" s="7">
        <f t="shared" si="4"/>
        <v>0</v>
      </c>
      <c r="AC27" s="13">
        <f t="shared" si="10"/>
        <v>0</v>
      </c>
      <c r="AD27" s="12">
        <f t="shared" si="11"/>
        <v>0</v>
      </c>
    </row>
    <row r="28" spans="2:30">
      <c r="B28" s="798">
        <v>9</v>
      </c>
      <c r="C28" s="3"/>
      <c r="D28" s="3"/>
      <c r="E28" s="838">
        <f t="shared" si="12"/>
        <v>0</v>
      </c>
      <c r="F28" s="839">
        <f>0.7*(温度条件他根拠!$F$7-温度条件他根拠!$F$9)/(温度条件他根拠!$F$7-25.9)</f>
        <v>0.39374999999999982</v>
      </c>
      <c r="G28" s="838">
        <v>0</v>
      </c>
      <c r="H28" s="7">
        <f t="shared" si="5"/>
        <v>0</v>
      </c>
      <c r="I28" s="7">
        <f t="shared" si="6"/>
        <v>0</v>
      </c>
      <c r="J28" s="2">
        <f t="shared" si="13"/>
        <v>3.55</v>
      </c>
      <c r="K28" s="6">
        <f t="shared" si="13"/>
        <v>3.95</v>
      </c>
      <c r="L28" s="7">
        <f t="shared" si="1"/>
        <v>0</v>
      </c>
      <c r="M28" s="7">
        <f t="shared" si="1"/>
        <v>0</v>
      </c>
      <c r="N28" s="13">
        <f t="shared" si="7"/>
        <v>0</v>
      </c>
      <c r="O28" s="12">
        <f t="shared" si="8"/>
        <v>0</v>
      </c>
      <c r="Q28" s="798">
        <v>9</v>
      </c>
      <c r="R28" s="3"/>
      <c r="S28" s="3"/>
      <c r="T28" s="838">
        <f t="shared" si="14"/>
        <v>0</v>
      </c>
      <c r="U28" s="1001">
        <f t="shared" si="9"/>
        <v>0.39374999999999982</v>
      </c>
      <c r="V28" s="838">
        <f t="shared" si="9"/>
        <v>0</v>
      </c>
      <c r="W28" s="7">
        <f t="shared" si="2"/>
        <v>0</v>
      </c>
      <c r="X28" s="7">
        <f t="shared" si="3"/>
        <v>0</v>
      </c>
      <c r="Y28" s="2">
        <f t="shared" si="15"/>
        <v>3.55</v>
      </c>
      <c r="Z28" s="6">
        <f t="shared" si="15"/>
        <v>3.95</v>
      </c>
      <c r="AA28" s="7">
        <f t="shared" si="4"/>
        <v>0</v>
      </c>
      <c r="AB28" s="7">
        <f t="shared" si="4"/>
        <v>0</v>
      </c>
      <c r="AC28" s="13">
        <f t="shared" si="10"/>
        <v>0</v>
      </c>
      <c r="AD28" s="12">
        <f t="shared" si="11"/>
        <v>0</v>
      </c>
    </row>
    <row r="29" spans="2:30">
      <c r="B29" s="798">
        <v>10</v>
      </c>
      <c r="C29" s="3"/>
      <c r="D29" s="3"/>
      <c r="E29" s="838">
        <f t="shared" si="12"/>
        <v>0</v>
      </c>
      <c r="F29" s="839">
        <f>0.175*(温度条件他根拠!$F$7-温度条件他根拠!$F$9)/(温度条件他根拠!$F$7-20.5)</f>
        <v>4.6323529411764694E-2</v>
      </c>
      <c r="G29" s="839">
        <f>0.2*(温度条件他根拠!$F$10-10.5)/(温度条件他根拠!$F$10-温度条件他根拠!$F$8)</f>
        <v>7.8512396694214878E-2</v>
      </c>
      <c r="H29" s="836">
        <f>$C$27*E29*F29/1000</f>
        <v>0</v>
      </c>
      <c r="I29" s="836">
        <f>G29*E29*$D$20/1000</f>
        <v>0</v>
      </c>
      <c r="J29" s="2">
        <f t="shared" si="13"/>
        <v>3.55</v>
      </c>
      <c r="K29" s="6">
        <f t="shared" si="13"/>
        <v>3.95</v>
      </c>
      <c r="L29" s="7">
        <f t="shared" si="1"/>
        <v>0</v>
      </c>
      <c r="M29" s="7">
        <f t="shared" si="1"/>
        <v>0</v>
      </c>
      <c r="N29" s="13">
        <f t="shared" si="7"/>
        <v>0</v>
      </c>
      <c r="O29" s="12">
        <f t="shared" si="8"/>
        <v>0</v>
      </c>
      <c r="Q29" s="798">
        <v>10</v>
      </c>
      <c r="R29" s="3"/>
      <c r="S29" s="3"/>
      <c r="T29" s="838">
        <f t="shared" si="14"/>
        <v>0</v>
      </c>
      <c r="U29" s="1001">
        <f t="shared" si="9"/>
        <v>4.6323529411764694E-2</v>
      </c>
      <c r="V29" s="1001">
        <f t="shared" si="9"/>
        <v>7.8512396694214878E-2</v>
      </c>
      <c r="W29" s="836">
        <f>($R$27*T29*U29/1000)</f>
        <v>0</v>
      </c>
      <c r="X29" s="836">
        <f>(V29*T29*$S$20/1000)</f>
        <v>0</v>
      </c>
      <c r="Y29" s="2">
        <f t="shared" si="15"/>
        <v>3.55</v>
      </c>
      <c r="Z29" s="6">
        <f t="shared" si="15"/>
        <v>3.95</v>
      </c>
      <c r="AA29" s="7">
        <f t="shared" si="4"/>
        <v>0</v>
      </c>
      <c r="AB29" s="7">
        <f t="shared" si="4"/>
        <v>0</v>
      </c>
      <c r="AC29" s="13">
        <f t="shared" si="10"/>
        <v>0</v>
      </c>
      <c r="AD29" s="12">
        <f t="shared" si="11"/>
        <v>0</v>
      </c>
    </row>
    <row r="30" spans="2:30">
      <c r="B30" s="798">
        <v>11</v>
      </c>
      <c r="C30" s="3"/>
      <c r="D30" s="3"/>
      <c r="E30" s="838">
        <f t="shared" si="12"/>
        <v>0</v>
      </c>
      <c r="F30" s="838">
        <v>0</v>
      </c>
      <c r="G30" s="839">
        <f>0.8*(温度条件他根拠!$F$10-3.5)/(温度条件他根拠!$F$10-温度条件他根拠!$F$8)</f>
        <v>0.54545454545454553</v>
      </c>
      <c r="H30" s="7">
        <f t="shared" si="5"/>
        <v>0</v>
      </c>
      <c r="I30" s="7">
        <f t="shared" si="6"/>
        <v>0</v>
      </c>
      <c r="J30" s="2">
        <f t="shared" si="13"/>
        <v>3.55</v>
      </c>
      <c r="K30" s="6">
        <f t="shared" si="13"/>
        <v>3.95</v>
      </c>
      <c r="L30" s="7">
        <f t="shared" si="1"/>
        <v>0</v>
      </c>
      <c r="M30" s="7">
        <f t="shared" si="1"/>
        <v>0</v>
      </c>
      <c r="N30" s="13">
        <f t="shared" si="7"/>
        <v>0</v>
      </c>
      <c r="O30" s="12">
        <f t="shared" si="8"/>
        <v>0</v>
      </c>
      <c r="Q30" s="798">
        <v>11</v>
      </c>
      <c r="R30" s="3"/>
      <c r="S30" s="3"/>
      <c r="T30" s="838">
        <f t="shared" si="14"/>
        <v>0</v>
      </c>
      <c r="U30" s="838">
        <f t="shared" si="9"/>
        <v>0</v>
      </c>
      <c r="V30" s="1001">
        <f t="shared" si="9"/>
        <v>0.54545454545454553</v>
      </c>
      <c r="W30" s="7">
        <f>$R$27*T30*U30/1000</f>
        <v>0</v>
      </c>
      <c r="X30" s="7">
        <f>V30*T30*$S$20/1000</f>
        <v>0</v>
      </c>
      <c r="Y30" s="2">
        <f t="shared" si="15"/>
        <v>3.55</v>
      </c>
      <c r="Z30" s="6">
        <f t="shared" si="15"/>
        <v>3.95</v>
      </c>
      <c r="AA30" s="7">
        <f t="shared" si="4"/>
        <v>0</v>
      </c>
      <c r="AB30" s="7">
        <f t="shared" si="4"/>
        <v>0</v>
      </c>
      <c r="AC30" s="13">
        <f t="shared" si="10"/>
        <v>0</v>
      </c>
      <c r="AD30" s="12">
        <f t="shared" si="11"/>
        <v>0</v>
      </c>
    </row>
    <row r="31" spans="2:30">
      <c r="B31" s="798">
        <v>12</v>
      </c>
      <c r="C31" s="3"/>
      <c r="D31" s="3"/>
      <c r="E31" s="838">
        <f t="shared" si="12"/>
        <v>0</v>
      </c>
      <c r="F31" s="838">
        <v>0</v>
      </c>
      <c r="G31" s="839">
        <f>0.8*(温度条件他根拠!$F$10--0.2)/(温度条件他根拠!$F$10-温度条件他根拠!$F$8)</f>
        <v>0.66776859504132235</v>
      </c>
      <c r="H31" s="7">
        <f t="shared" si="5"/>
        <v>0</v>
      </c>
      <c r="I31" s="7">
        <f t="shared" si="6"/>
        <v>0</v>
      </c>
      <c r="J31" s="2">
        <f t="shared" si="13"/>
        <v>3.55</v>
      </c>
      <c r="K31" s="6">
        <f t="shared" si="13"/>
        <v>3.95</v>
      </c>
      <c r="L31" s="7">
        <f t="shared" si="1"/>
        <v>0</v>
      </c>
      <c r="M31" s="7">
        <f t="shared" si="1"/>
        <v>0</v>
      </c>
      <c r="N31" s="13">
        <f t="shared" si="7"/>
        <v>0</v>
      </c>
      <c r="O31" s="12">
        <f t="shared" si="8"/>
        <v>0</v>
      </c>
      <c r="Q31" s="798">
        <v>12</v>
      </c>
      <c r="R31" s="3"/>
      <c r="S31" s="3"/>
      <c r="T31" s="838">
        <f t="shared" si="14"/>
        <v>0</v>
      </c>
      <c r="U31" s="838">
        <f t="shared" si="9"/>
        <v>0</v>
      </c>
      <c r="V31" s="1001">
        <f t="shared" si="9"/>
        <v>0.66776859504132235</v>
      </c>
      <c r="W31" s="7">
        <f>$R$27*T31*U31/1000</f>
        <v>0</v>
      </c>
      <c r="X31" s="7">
        <f>V31*T31*$S$20/1000</f>
        <v>0</v>
      </c>
      <c r="Y31" s="2">
        <f t="shared" si="15"/>
        <v>3.55</v>
      </c>
      <c r="Z31" s="6">
        <f t="shared" si="15"/>
        <v>3.95</v>
      </c>
      <c r="AA31" s="7">
        <f t="shared" si="4"/>
        <v>0</v>
      </c>
      <c r="AB31" s="7">
        <f t="shared" si="4"/>
        <v>0</v>
      </c>
      <c r="AC31" s="13">
        <f t="shared" si="10"/>
        <v>0</v>
      </c>
      <c r="AD31" s="12">
        <f t="shared" si="11"/>
        <v>0</v>
      </c>
    </row>
    <row r="32" spans="2:30">
      <c r="B32" s="2" t="s">
        <v>1</v>
      </c>
      <c r="C32" s="3"/>
      <c r="D32" s="3"/>
      <c r="E32" s="836">
        <f>SUM(E20:E31)</f>
        <v>0</v>
      </c>
      <c r="F32" s="3"/>
      <c r="G32" s="3"/>
      <c r="H32" s="7">
        <f>SUM(H20:H31)</f>
        <v>0</v>
      </c>
      <c r="I32" s="7">
        <f>SUM(I20:I31)</f>
        <v>0</v>
      </c>
      <c r="J32" s="3"/>
      <c r="K32" s="3"/>
      <c r="L32" s="7">
        <f>SUM(L20:L31)</f>
        <v>0</v>
      </c>
      <c r="M32" s="7">
        <f>SUM(M20:M31)</f>
        <v>0</v>
      </c>
      <c r="N32" s="13">
        <f>SUM(N20:N31)</f>
        <v>0</v>
      </c>
      <c r="O32" s="17">
        <f>SUM(O20:O31)</f>
        <v>0</v>
      </c>
      <c r="Q32" s="2" t="s">
        <v>1</v>
      </c>
      <c r="R32" s="3"/>
      <c r="S32" s="3"/>
      <c r="T32" s="836">
        <f>SUM(T20:T31)</f>
        <v>0</v>
      </c>
      <c r="U32" s="3"/>
      <c r="V32" s="3"/>
      <c r="W32" s="7">
        <f>SUM(W20:W31)</f>
        <v>0</v>
      </c>
      <c r="X32" s="7">
        <f>SUM(X20:X31)</f>
        <v>0</v>
      </c>
      <c r="Y32" s="3"/>
      <c r="Z32" s="3"/>
      <c r="AA32" s="7">
        <f>SUM(AA20:AA31)</f>
        <v>0</v>
      </c>
      <c r="AB32" s="7">
        <f>SUM(AB20:AB31)</f>
        <v>0</v>
      </c>
      <c r="AC32" s="13">
        <f>SUM(AC20:AC31)</f>
        <v>0</v>
      </c>
      <c r="AD32" s="17">
        <f>SUM(AD20:AD31)</f>
        <v>0</v>
      </c>
    </row>
    <row r="34" spans="2:29">
      <c r="B34" s="8" t="s">
        <v>23</v>
      </c>
      <c r="C34" s="9"/>
      <c r="D34" s="9"/>
      <c r="E34" s="10">
        <f>L32+M32</f>
        <v>0</v>
      </c>
      <c r="F34" s="9" t="s">
        <v>13</v>
      </c>
      <c r="G34" s="8" t="s">
        <v>24</v>
      </c>
      <c r="H34" s="11"/>
      <c r="Q34" s="8" t="s">
        <v>572</v>
      </c>
      <c r="R34" s="9"/>
      <c r="S34" s="9"/>
      <c r="T34" s="10">
        <f>AA32+AB32</f>
        <v>0</v>
      </c>
      <c r="U34" s="9" t="s">
        <v>13</v>
      </c>
      <c r="V34" s="8" t="s">
        <v>24</v>
      </c>
      <c r="W34" s="11"/>
      <c r="Y34" s="8" t="s">
        <v>574</v>
      </c>
      <c r="Z34" s="9"/>
      <c r="AA34" s="9"/>
      <c r="AB34" s="290">
        <f>T34-E34</f>
        <v>0</v>
      </c>
      <c r="AC34" s="11" t="s">
        <v>13</v>
      </c>
    </row>
    <row r="35" spans="2:29">
      <c r="B35" s="8" t="s">
        <v>28</v>
      </c>
      <c r="C35" s="9"/>
      <c r="D35" s="9"/>
      <c r="E35" s="16">
        <f>E34*0.495/1000</f>
        <v>0</v>
      </c>
      <c r="F35" s="9" t="s">
        <v>7</v>
      </c>
      <c r="G35" s="8" t="s">
        <v>33</v>
      </c>
      <c r="H35" s="11"/>
      <c r="Q35" s="8" t="s">
        <v>573</v>
      </c>
      <c r="R35" s="9"/>
      <c r="S35" s="9"/>
      <c r="T35" s="16">
        <f>T34*0.495/1000</f>
        <v>0</v>
      </c>
      <c r="U35" s="9" t="s">
        <v>7</v>
      </c>
      <c r="V35" s="8" t="s">
        <v>33</v>
      </c>
      <c r="W35" s="11"/>
      <c r="Y35" s="8" t="s">
        <v>575</v>
      </c>
      <c r="Z35" s="9"/>
      <c r="AA35" s="9"/>
      <c r="AB35" s="290">
        <f>T35-E35</f>
        <v>0</v>
      </c>
      <c r="AC35" s="11" t="s">
        <v>7</v>
      </c>
    </row>
    <row r="56" spans="2:3">
      <c r="B56" s="1" t="s">
        <v>1079</v>
      </c>
    </row>
    <row r="57" spans="2:3">
      <c r="B57" s="691">
        <v>43927</v>
      </c>
      <c r="C57" s="690" t="s">
        <v>866</v>
      </c>
    </row>
    <row r="58" spans="2:3">
      <c r="B58" s="691">
        <v>44634</v>
      </c>
      <c r="C58" s="690" t="s">
        <v>1119</v>
      </c>
    </row>
    <row r="59" spans="2:3">
      <c r="C59" s="690" t="s">
        <v>1120</v>
      </c>
    </row>
    <row r="60" spans="2:3">
      <c r="C60" s="1" t="s">
        <v>1121</v>
      </c>
    </row>
    <row r="61" spans="2:3">
      <c r="C61" s="1" t="s">
        <v>1133</v>
      </c>
    </row>
    <row r="62" spans="2:3">
      <c r="C62" s="1" t="s">
        <v>1134</v>
      </c>
    </row>
  </sheetData>
  <mergeCells count="13">
    <mergeCell ref="B16:O16"/>
    <mergeCell ref="D11:F11"/>
    <mergeCell ref="H11:N11"/>
    <mergeCell ref="D12:F12"/>
    <mergeCell ref="H12:N12"/>
    <mergeCell ref="D13:F13"/>
    <mergeCell ref="H13:N13"/>
    <mergeCell ref="H7:N10"/>
    <mergeCell ref="B2:O2"/>
    <mergeCell ref="B5:C6"/>
    <mergeCell ref="D5:F5"/>
    <mergeCell ref="G5:G6"/>
    <mergeCell ref="H5:N6"/>
  </mergeCells>
  <phoneticPr fontId="2"/>
  <pageMargins left="0" right="0" top="0.55118110236220474" bottom="0.15748031496062992" header="0.11811023622047245" footer="0"/>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tabColor rgb="FF00B0F0"/>
  </sheetPr>
  <dimension ref="B1:AD91"/>
  <sheetViews>
    <sheetView topLeftCell="E1" workbookViewId="0">
      <selection activeCell="H9" sqref="H9"/>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705" t="str">
        <f ca="1">RIGHT(CELL("filename",C1),LEN(CELL("filename",C1))-FIND("]",CELL("filename",C1)))</f>
        <v>秩父市外壁遮熱</v>
      </c>
    </row>
    <row r="2" spans="2:16" ht="13.5" thickBot="1">
      <c r="B2" s="2080"/>
      <c r="C2" s="2080"/>
      <c r="D2" s="2080"/>
      <c r="E2" s="2080"/>
      <c r="F2" s="2080"/>
      <c r="G2" s="2080"/>
      <c r="H2" s="2080"/>
      <c r="I2" s="2080"/>
      <c r="J2" s="2080"/>
      <c r="K2" s="2080"/>
      <c r="L2" s="2080"/>
      <c r="M2" s="2080"/>
      <c r="N2" s="2080"/>
      <c r="O2" s="2080"/>
    </row>
    <row r="3" spans="2:16" ht="13.5" thickBot="1">
      <c r="B3" s="840" t="s">
        <v>1093</v>
      </c>
      <c r="C3" s="890"/>
      <c r="D3" s="841"/>
      <c r="E3" s="841"/>
      <c r="F3" s="841"/>
      <c r="G3" s="841"/>
      <c r="H3" s="1010"/>
      <c r="I3" s="1010"/>
      <c r="J3" s="2096" t="str">
        <f>J16</f>
        <v>D
時間帯合計値の最大値の方位別冷房負荷（計算採用値）</v>
      </c>
      <c r="K3" s="2099" t="str">
        <f>K16</f>
        <v>E
方位別日射時間
(h/日）</v>
      </c>
      <c r="L3" s="2102" t="str">
        <f>L16</f>
        <v>①
＝ΣD×E
方位別
日冷房
負荷
削減量
（W・h/日）</v>
      </c>
      <c r="M3" s="897"/>
      <c r="N3" s="2096" t="str">
        <f>N16</f>
        <v>F
時間帯合計値の最大値の方位別暖房負荷（計算採用値）</v>
      </c>
      <c r="O3" s="2099" t="str">
        <f>O16</f>
        <v>E
方位別日射時間
(h/日）</v>
      </c>
      <c r="P3" s="2102" t="str">
        <f>P16</f>
        <v>②
＝ΣF×E
方位別
日暖房
負荷
削減量
（W・h/日）</v>
      </c>
    </row>
    <row r="4" spans="2:16">
      <c r="B4" s="2088" t="s">
        <v>1094</v>
      </c>
      <c r="C4" s="2089"/>
      <c r="D4" s="2089" t="s">
        <v>1095</v>
      </c>
      <c r="E4" s="2089"/>
      <c r="F4" s="2089"/>
      <c r="G4" s="2092" t="s">
        <v>1122</v>
      </c>
      <c r="H4" s="894"/>
      <c r="I4" s="894"/>
      <c r="J4" s="2097"/>
      <c r="K4" s="2100"/>
      <c r="L4" s="2103"/>
      <c r="M4" s="896"/>
      <c r="N4" s="2097"/>
      <c r="O4" s="2100"/>
      <c r="P4" s="2103"/>
    </row>
    <row r="5" spans="2:16" ht="13.5" thickBot="1">
      <c r="B5" s="2090"/>
      <c r="C5" s="2091"/>
      <c r="D5" s="842" t="s">
        <v>1098</v>
      </c>
      <c r="E5" s="842" t="s">
        <v>1099</v>
      </c>
      <c r="F5" s="842" t="s">
        <v>1100</v>
      </c>
      <c r="G5" s="2093"/>
      <c r="H5" s="894"/>
      <c r="I5" s="894"/>
      <c r="J5" s="2098"/>
      <c r="K5" s="2101"/>
      <c r="L5" s="2104"/>
      <c r="M5" s="896"/>
      <c r="N5" s="2098"/>
      <c r="O5" s="2101"/>
      <c r="P5" s="2104"/>
    </row>
    <row r="6" spans="2:16">
      <c r="B6" s="2094" t="s">
        <v>1123</v>
      </c>
      <c r="C6" s="881" t="s">
        <v>1395</v>
      </c>
      <c r="D6" s="882">
        <f>結果!H31</f>
        <v>0</v>
      </c>
      <c r="E6" s="882">
        <f>結果!J31</f>
        <v>0</v>
      </c>
      <c r="F6" s="882">
        <f>結果!L31</f>
        <v>0</v>
      </c>
      <c r="G6" s="883">
        <f>結果!Q31</f>
        <v>0</v>
      </c>
      <c r="H6" s="894"/>
      <c r="I6" s="894"/>
      <c r="J6" s="857">
        <f>IF(D32&gt;=D33,D6,IF(E32&gt;=D33,E6,F6))</f>
        <v>0</v>
      </c>
      <c r="K6" s="858">
        <f>温度条件他根拠!C36</f>
        <v>0</v>
      </c>
      <c r="L6" s="859">
        <f>K6*J6</f>
        <v>0</v>
      </c>
      <c r="M6" s="896"/>
      <c r="N6" s="860">
        <v>0</v>
      </c>
      <c r="O6" s="858">
        <f>K6</f>
        <v>0</v>
      </c>
      <c r="P6" s="859">
        <f>O6*N6</f>
        <v>0</v>
      </c>
    </row>
    <row r="7" spans="2:16">
      <c r="B7" s="2077"/>
      <c r="C7" s="877" t="s">
        <v>1396</v>
      </c>
      <c r="D7" s="847">
        <f>結果!H32</f>
        <v>0</v>
      </c>
      <c r="E7" s="847">
        <f>結果!J32</f>
        <v>0</v>
      </c>
      <c r="F7" s="847">
        <f>結果!L32</f>
        <v>0</v>
      </c>
      <c r="G7" s="879">
        <f>結果!Q32</f>
        <v>0</v>
      </c>
      <c r="H7" s="894"/>
      <c r="I7" s="894"/>
      <c r="J7" s="862">
        <f>IF(D32&gt;=D33,D7,IF(E32&gt;=D33,E7,F7))</f>
        <v>0</v>
      </c>
      <c r="K7" s="863">
        <f>温度条件他根拠!D36</f>
        <v>2.5</v>
      </c>
      <c r="L7" s="864">
        <f t="shared" ref="L7:L13" si="0">K7*J7</f>
        <v>0</v>
      </c>
      <c r="M7" s="896"/>
      <c r="N7" s="865">
        <v>0</v>
      </c>
      <c r="O7" s="863">
        <f>K7</f>
        <v>2.5</v>
      </c>
      <c r="P7" s="864">
        <f t="shared" ref="P7:P13" si="1">O7*N7</f>
        <v>0</v>
      </c>
    </row>
    <row r="8" spans="2:16">
      <c r="B8" s="2077"/>
      <c r="C8" s="877" t="s">
        <v>1397</v>
      </c>
      <c r="D8" s="847">
        <f>結果!H33</f>
        <v>0</v>
      </c>
      <c r="E8" s="847">
        <f>結果!J33</f>
        <v>0</v>
      </c>
      <c r="F8" s="847">
        <f>結果!L33</f>
        <v>0</v>
      </c>
      <c r="G8" s="879">
        <f>結果!Q33</f>
        <v>0</v>
      </c>
      <c r="H8" s="894"/>
      <c r="I8" s="894"/>
      <c r="J8" s="862">
        <f>IF(D32&gt;=D33,D8,IF(E32&gt;=D33,E8,F8))</f>
        <v>0</v>
      </c>
      <c r="K8" s="863">
        <f>温度条件他根拠!E36</f>
        <v>3.5</v>
      </c>
      <c r="L8" s="864">
        <f t="shared" si="0"/>
        <v>0</v>
      </c>
      <c r="M8" s="896"/>
      <c r="N8" s="865">
        <v>0</v>
      </c>
      <c r="O8" s="863">
        <f t="shared" ref="O8:O13" si="2">K8</f>
        <v>3.5</v>
      </c>
      <c r="P8" s="864">
        <f t="shared" si="1"/>
        <v>0</v>
      </c>
    </row>
    <row r="9" spans="2:16">
      <c r="B9" s="2077"/>
      <c r="C9" s="877" t="s">
        <v>1398</v>
      </c>
      <c r="D9" s="847">
        <f>結果!H34</f>
        <v>0</v>
      </c>
      <c r="E9" s="847">
        <f>結果!J34</f>
        <v>0</v>
      </c>
      <c r="F9" s="847">
        <f>結果!L34</f>
        <v>0</v>
      </c>
      <c r="G9" s="879">
        <f>結果!Q34</f>
        <v>0</v>
      </c>
      <c r="H9" s="894"/>
      <c r="I9" s="894"/>
      <c r="J9" s="862">
        <f>IF(D32&gt;=D33,D9,IF(E32&gt;=D33,E9,F9))</f>
        <v>0</v>
      </c>
      <c r="K9" s="863">
        <f>温度条件他根拠!F36</f>
        <v>4.5</v>
      </c>
      <c r="L9" s="864">
        <f t="shared" si="0"/>
        <v>0</v>
      </c>
      <c r="M9" s="896"/>
      <c r="N9" s="865">
        <v>0</v>
      </c>
      <c r="O9" s="863">
        <f t="shared" si="2"/>
        <v>4.5</v>
      </c>
      <c r="P9" s="864">
        <f t="shared" si="1"/>
        <v>0</v>
      </c>
    </row>
    <row r="10" spans="2:16">
      <c r="B10" s="2077"/>
      <c r="C10" s="877" t="s">
        <v>1399</v>
      </c>
      <c r="D10" s="847">
        <f>結果!H35</f>
        <v>0</v>
      </c>
      <c r="E10" s="847">
        <f>結果!J35</f>
        <v>0</v>
      </c>
      <c r="F10" s="847">
        <f>結果!L35</f>
        <v>0</v>
      </c>
      <c r="G10" s="879">
        <f>結果!Q35</f>
        <v>0</v>
      </c>
      <c r="H10" s="894"/>
      <c r="I10" s="894"/>
      <c r="J10" s="862">
        <f>IF(D32&gt;=D33,D10,IF(E32&gt;=D33,E10,F10))</f>
        <v>0</v>
      </c>
      <c r="K10" s="866">
        <f>温度条件他根拠!G36</f>
        <v>5</v>
      </c>
      <c r="L10" s="864">
        <f t="shared" si="0"/>
        <v>0</v>
      </c>
      <c r="M10" s="896"/>
      <c r="N10" s="865">
        <v>0</v>
      </c>
      <c r="O10" s="866">
        <f t="shared" si="2"/>
        <v>5</v>
      </c>
      <c r="P10" s="864">
        <f t="shared" si="1"/>
        <v>0</v>
      </c>
    </row>
    <row r="11" spans="2:16">
      <c r="B11" s="2077"/>
      <c r="C11" s="877" t="s">
        <v>1400</v>
      </c>
      <c r="D11" s="847">
        <f>結果!H36</f>
        <v>0</v>
      </c>
      <c r="E11" s="847">
        <f>結果!J36</f>
        <v>0</v>
      </c>
      <c r="F11" s="847">
        <f>結果!L36</f>
        <v>0</v>
      </c>
      <c r="G11" s="879">
        <f>結果!Q36</f>
        <v>0</v>
      </c>
      <c r="H11" s="894"/>
      <c r="I11" s="894"/>
      <c r="J11" s="862">
        <f>IF(D32&gt;=D33,D11,IF(E32&gt;=D33,E11,F11))</f>
        <v>0</v>
      </c>
      <c r="K11" s="863">
        <f>温度条件他根拠!H36</f>
        <v>4.5</v>
      </c>
      <c r="L11" s="864">
        <f t="shared" si="0"/>
        <v>0</v>
      </c>
      <c r="M11" s="896"/>
      <c r="N11" s="865">
        <v>0</v>
      </c>
      <c r="O11" s="863">
        <f t="shared" si="2"/>
        <v>4.5</v>
      </c>
      <c r="P11" s="864">
        <f t="shared" si="1"/>
        <v>0</v>
      </c>
    </row>
    <row r="12" spans="2:16">
      <c r="B12" s="2077"/>
      <c r="C12" s="877" t="s">
        <v>1401</v>
      </c>
      <c r="D12" s="847">
        <f>結果!H37</f>
        <v>0</v>
      </c>
      <c r="E12" s="847">
        <f>結果!J37</f>
        <v>0</v>
      </c>
      <c r="F12" s="847">
        <f>結果!L37</f>
        <v>0</v>
      </c>
      <c r="G12" s="879">
        <f>結果!Q37</f>
        <v>0</v>
      </c>
      <c r="H12" s="894"/>
      <c r="I12" s="894"/>
      <c r="J12" s="862">
        <f>IF(D32&gt;=D33,D12,IF(E32&gt;=D33,E12,F12))</f>
        <v>0</v>
      </c>
      <c r="K12" s="863">
        <f>温度条件他根拠!I36</f>
        <v>3.5</v>
      </c>
      <c r="L12" s="864">
        <f t="shared" si="0"/>
        <v>0</v>
      </c>
      <c r="M12" s="896"/>
      <c r="N12" s="865">
        <v>0</v>
      </c>
      <c r="O12" s="863">
        <f t="shared" si="2"/>
        <v>3.5</v>
      </c>
      <c r="P12" s="864">
        <f t="shared" si="1"/>
        <v>0</v>
      </c>
    </row>
    <row r="13" spans="2:16" ht="13.5" thickBot="1">
      <c r="B13" s="2077"/>
      <c r="C13" s="878" t="s">
        <v>1402</v>
      </c>
      <c r="D13" s="850">
        <f>結果!H38</f>
        <v>0</v>
      </c>
      <c r="E13" s="850">
        <f>結果!J38</f>
        <v>0</v>
      </c>
      <c r="F13" s="850">
        <f>結果!L38</f>
        <v>0</v>
      </c>
      <c r="G13" s="880">
        <f>結果!Q38</f>
        <v>0</v>
      </c>
      <c r="H13" s="894"/>
      <c r="I13" s="894"/>
      <c r="J13" s="868">
        <f>IF(D32&gt;=D33,D13,IF(E32&gt;=D33,E13,F13))</f>
        <v>0</v>
      </c>
      <c r="K13" s="869">
        <f>温度条件他根拠!J36</f>
        <v>2.5</v>
      </c>
      <c r="L13" s="870">
        <f t="shared" si="0"/>
        <v>0</v>
      </c>
      <c r="M13" s="896"/>
      <c r="N13" s="865">
        <v>0</v>
      </c>
      <c r="O13" s="863">
        <f t="shared" si="2"/>
        <v>2.5</v>
      </c>
      <c r="P13" s="870">
        <f t="shared" si="1"/>
        <v>0</v>
      </c>
    </row>
    <row r="14" spans="2:16" ht="13.5" customHeight="1" thickBot="1">
      <c r="B14" s="2095"/>
      <c r="C14" s="884" t="s">
        <v>1124</v>
      </c>
      <c r="D14" s="885">
        <f>SUM(D6:D13)</f>
        <v>0</v>
      </c>
      <c r="E14" s="885">
        <f t="shared" ref="E14:G14" si="3">SUM(E6:E13)</f>
        <v>0</v>
      </c>
      <c r="F14" s="885">
        <f t="shared" si="3"/>
        <v>0</v>
      </c>
      <c r="G14" s="886">
        <f t="shared" si="3"/>
        <v>0</v>
      </c>
      <c r="H14" s="894"/>
      <c r="I14" s="894"/>
      <c r="J14" s="874">
        <f>SUM(J6:J13)</f>
        <v>0</v>
      </c>
      <c r="K14" s="875"/>
      <c r="L14" s="876">
        <f>SUM(L6:L13)</f>
        <v>0</v>
      </c>
      <c r="M14" s="896"/>
      <c r="N14" s="874">
        <f>SUM(N6:N13)</f>
        <v>0</v>
      </c>
      <c r="O14" s="875"/>
      <c r="P14" s="876">
        <f>SUM(P6:P13)</f>
        <v>0</v>
      </c>
    </row>
    <row r="15" spans="2:16" ht="13.5" thickBot="1">
      <c r="B15" s="2088" t="s">
        <v>1128</v>
      </c>
      <c r="C15" s="843" t="str">
        <f>C6</f>
        <v>北</v>
      </c>
      <c r="D15" s="844">
        <f>結果!H71</f>
        <v>0</v>
      </c>
      <c r="E15" s="844">
        <f>結果!J71</f>
        <v>0</v>
      </c>
      <c r="F15" s="844">
        <f>結果!L71</f>
        <v>0</v>
      </c>
      <c r="G15" s="845">
        <f>結果!Q71</f>
        <v>0</v>
      </c>
      <c r="H15" s="1010"/>
      <c r="I15" s="1010"/>
      <c r="J15" s="894"/>
      <c r="K15" s="894"/>
      <c r="L15" s="894"/>
      <c r="M15" s="896"/>
      <c r="N15" s="896"/>
      <c r="O15" s="896"/>
      <c r="P15" s="897"/>
    </row>
    <row r="16" spans="2:16" ht="13" customHeight="1">
      <c r="B16" s="2077"/>
      <c r="C16" s="846" t="str">
        <f t="shared" ref="C16:C32" si="4">C7</f>
        <v>北東</v>
      </c>
      <c r="D16" s="847">
        <f>結果!H72</f>
        <v>0</v>
      </c>
      <c r="E16" s="847">
        <f>結果!J72</f>
        <v>0</v>
      </c>
      <c r="F16" s="847">
        <f>結果!L72</f>
        <v>0</v>
      </c>
      <c r="G16" s="848">
        <f>結果!Q72</f>
        <v>0</v>
      </c>
      <c r="H16" s="1010"/>
      <c r="I16" s="1010"/>
      <c r="J16" s="2084" t="s">
        <v>1125</v>
      </c>
      <c r="K16" s="2084" t="s">
        <v>1389</v>
      </c>
      <c r="L16" s="2084" t="s">
        <v>1126</v>
      </c>
      <c r="M16" s="896"/>
      <c r="N16" s="2084" t="s">
        <v>1127</v>
      </c>
      <c r="O16" s="2084" t="s">
        <v>1389</v>
      </c>
      <c r="P16" s="2084" t="s">
        <v>1390</v>
      </c>
    </row>
    <row r="17" spans="2:16">
      <c r="B17" s="2077"/>
      <c r="C17" s="846" t="str">
        <f t="shared" si="4"/>
        <v>東</v>
      </c>
      <c r="D17" s="847">
        <f>結果!H73</f>
        <v>0</v>
      </c>
      <c r="E17" s="847">
        <f>結果!J73</f>
        <v>0</v>
      </c>
      <c r="F17" s="847">
        <f>結果!L73</f>
        <v>0</v>
      </c>
      <c r="G17" s="848">
        <f>結果!Q73</f>
        <v>0</v>
      </c>
      <c r="H17" s="1010"/>
      <c r="I17" s="1010"/>
      <c r="J17" s="2085"/>
      <c r="K17" s="2085"/>
      <c r="L17" s="2085"/>
      <c r="M17" s="896"/>
      <c r="N17" s="2085"/>
      <c r="O17" s="2085"/>
      <c r="P17" s="2085"/>
    </row>
    <row r="18" spans="2:16">
      <c r="B18" s="2077"/>
      <c r="C18" s="846" t="str">
        <f t="shared" si="4"/>
        <v>南東</v>
      </c>
      <c r="D18" s="847">
        <f>結果!H74</f>
        <v>0</v>
      </c>
      <c r="E18" s="847">
        <f>結果!J74</f>
        <v>0</v>
      </c>
      <c r="F18" s="847">
        <f>結果!L74</f>
        <v>0</v>
      </c>
      <c r="G18" s="848">
        <f>結果!Q74</f>
        <v>0</v>
      </c>
      <c r="H18" s="1010"/>
      <c r="I18" s="1010"/>
      <c r="J18" s="2085"/>
      <c r="K18" s="2085"/>
      <c r="L18" s="2085"/>
      <c r="M18" s="896"/>
      <c r="N18" s="2085"/>
      <c r="O18" s="2085"/>
      <c r="P18" s="2085"/>
    </row>
    <row r="19" spans="2:16">
      <c r="B19" s="2077"/>
      <c r="C19" s="846" t="str">
        <f t="shared" si="4"/>
        <v>南</v>
      </c>
      <c r="D19" s="847">
        <f>結果!H75</f>
        <v>0</v>
      </c>
      <c r="E19" s="847">
        <f>結果!J75</f>
        <v>0</v>
      </c>
      <c r="F19" s="847">
        <f>結果!L75</f>
        <v>0</v>
      </c>
      <c r="G19" s="848">
        <f>結果!Q75</f>
        <v>0</v>
      </c>
      <c r="H19" s="1010"/>
      <c r="I19" s="1010"/>
      <c r="J19" s="2085"/>
      <c r="K19" s="2085"/>
      <c r="L19" s="2085"/>
      <c r="M19" s="896"/>
      <c r="N19" s="2085"/>
      <c r="O19" s="2085"/>
      <c r="P19" s="2085"/>
    </row>
    <row r="20" spans="2:16">
      <c r="B20" s="2077"/>
      <c r="C20" s="846" t="str">
        <f t="shared" si="4"/>
        <v>南西</v>
      </c>
      <c r="D20" s="847">
        <f>結果!H76</f>
        <v>0</v>
      </c>
      <c r="E20" s="847">
        <f>結果!J76</f>
        <v>0</v>
      </c>
      <c r="F20" s="847">
        <f>結果!L76</f>
        <v>0</v>
      </c>
      <c r="G20" s="848">
        <f>結果!Q76</f>
        <v>0</v>
      </c>
      <c r="H20" s="1010"/>
      <c r="I20" s="1010"/>
      <c r="J20" s="2085"/>
      <c r="K20" s="2085"/>
      <c r="L20" s="2085"/>
      <c r="M20" s="896"/>
      <c r="N20" s="2085"/>
      <c r="O20" s="2085"/>
      <c r="P20" s="2085"/>
    </row>
    <row r="21" spans="2:16">
      <c r="B21" s="2077"/>
      <c r="C21" s="846" t="str">
        <f t="shared" si="4"/>
        <v>西</v>
      </c>
      <c r="D21" s="847">
        <f>結果!H77</f>
        <v>0</v>
      </c>
      <c r="E21" s="847">
        <f>結果!J77</f>
        <v>0</v>
      </c>
      <c r="F21" s="847">
        <f>結果!L77</f>
        <v>0</v>
      </c>
      <c r="G21" s="848">
        <f>結果!Q77</f>
        <v>0</v>
      </c>
      <c r="H21" s="1010"/>
      <c r="I21" s="1010"/>
      <c r="J21" s="2085"/>
      <c r="K21" s="2085"/>
      <c r="L21" s="2085"/>
      <c r="M21" s="896"/>
      <c r="N21" s="2085"/>
      <c r="O21" s="2085"/>
      <c r="P21" s="2085"/>
    </row>
    <row r="22" spans="2:16" ht="13.5" thickBot="1">
      <c r="B22" s="2077"/>
      <c r="C22" s="849" t="str">
        <f t="shared" si="4"/>
        <v>北西</v>
      </c>
      <c r="D22" s="850">
        <f>結果!H78</f>
        <v>0</v>
      </c>
      <c r="E22" s="850">
        <f>結果!J78</f>
        <v>0</v>
      </c>
      <c r="F22" s="850">
        <f>結果!L78</f>
        <v>0</v>
      </c>
      <c r="G22" s="851">
        <f>結果!Q78</f>
        <v>0</v>
      </c>
      <c r="H22" s="1010"/>
      <c r="I22" s="1010"/>
      <c r="J22" s="2086"/>
      <c r="K22" s="2085"/>
      <c r="L22" s="2085"/>
      <c r="M22" s="896"/>
      <c r="N22" s="2085"/>
      <c r="O22" s="2085"/>
      <c r="P22" s="2085"/>
    </row>
    <row r="23" spans="2:16" ht="13.5" thickBot="1">
      <c r="B23" s="2079"/>
      <c r="C23" s="852" t="str">
        <f t="shared" si="4"/>
        <v>合計</v>
      </c>
      <c r="D23" s="853">
        <f>SUM(D15:D22)</f>
        <v>0</v>
      </c>
      <c r="E23" s="853">
        <f t="shared" ref="E23:G23" si="5">SUM(E15:E22)</f>
        <v>0</v>
      </c>
      <c r="F23" s="853">
        <f t="shared" si="5"/>
        <v>0</v>
      </c>
      <c r="G23" s="854">
        <f t="shared" si="5"/>
        <v>0</v>
      </c>
      <c r="H23" s="1010"/>
      <c r="I23" s="1010"/>
      <c r="J23" s="855" t="str">
        <f>IF(D32&gt;=D33,"９時",IF(E32&gt;=D33,"１２時","１５時"))</f>
        <v>９時</v>
      </c>
      <c r="K23" s="2087"/>
      <c r="L23" s="2087"/>
      <c r="M23" s="896"/>
      <c r="N23" s="999"/>
      <c r="O23" s="2087"/>
      <c r="P23" s="2087"/>
    </row>
    <row r="24" spans="2:16">
      <c r="B24" s="2076" t="s">
        <v>1129</v>
      </c>
      <c r="C24" s="856" t="str">
        <f>C15</f>
        <v>北</v>
      </c>
      <c r="D24" s="844">
        <f>D6-D15</f>
        <v>0</v>
      </c>
      <c r="E24" s="844">
        <f t="shared" ref="E24:G24" si="6">E6-E15</f>
        <v>0</v>
      </c>
      <c r="F24" s="844">
        <f t="shared" si="6"/>
        <v>0</v>
      </c>
      <c r="G24" s="845">
        <f t="shared" si="6"/>
        <v>0</v>
      </c>
      <c r="H24" s="1010"/>
      <c r="I24" s="1010"/>
      <c r="J24" s="857">
        <f>IF(D32&gt;=D33,D24,IF(E32&gt;=D33,E24,F24))</f>
        <v>0</v>
      </c>
      <c r="K24" s="858">
        <f>温度条件他根拠!C36</f>
        <v>0</v>
      </c>
      <c r="L24" s="859">
        <f>K24*J24</f>
        <v>0</v>
      </c>
      <c r="M24" s="896"/>
      <c r="N24" s="860">
        <f>G24</f>
        <v>0</v>
      </c>
      <c r="O24" s="858">
        <f>K24</f>
        <v>0</v>
      </c>
      <c r="P24" s="859">
        <f>O24*N24</f>
        <v>0</v>
      </c>
    </row>
    <row r="25" spans="2:16">
      <c r="B25" s="2077"/>
      <c r="C25" s="861" t="str">
        <f t="shared" si="4"/>
        <v>北東</v>
      </c>
      <c r="D25" s="847">
        <f t="shared" ref="D25:G31" si="7">D7-D16</f>
        <v>0</v>
      </c>
      <c r="E25" s="847">
        <f t="shared" si="7"/>
        <v>0</v>
      </c>
      <c r="F25" s="847">
        <f t="shared" si="7"/>
        <v>0</v>
      </c>
      <c r="G25" s="848">
        <f t="shared" si="7"/>
        <v>0</v>
      </c>
      <c r="H25" s="1010"/>
      <c r="I25" s="1010"/>
      <c r="J25" s="862">
        <f>IF(D32&gt;=D33,D25,IF(E32&gt;=D33,E25,F25))</f>
        <v>0</v>
      </c>
      <c r="K25" s="863">
        <f>温度条件他根拠!D36</f>
        <v>2.5</v>
      </c>
      <c r="L25" s="864">
        <f t="shared" ref="L25:L31" si="8">K25*J25</f>
        <v>0</v>
      </c>
      <c r="M25" s="896"/>
      <c r="N25" s="865">
        <f>G25</f>
        <v>0</v>
      </c>
      <c r="O25" s="863">
        <f>K25</f>
        <v>2.5</v>
      </c>
      <c r="P25" s="864">
        <f t="shared" ref="P25:P31" si="9">O25*N25</f>
        <v>0</v>
      </c>
    </row>
    <row r="26" spans="2:16">
      <c r="B26" s="2077"/>
      <c r="C26" s="861" t="str">
        <f t="shared" si="4"/>
        <v>東</v>
      </c>
      <c r="D26" s="847">
        <f t="shared" si="7"/>
        <v>0</v>
      </c>
      <c r="E26" s="847">
        <f t="shared" si="7"/>
        <v>0</v>
      </c>
      <c r="F26" s="847">
        <f t="shared" si="7"/>
        <v>0</v>
      </c>
      <c r="G26" s="848">
        <f t="shared" si="7"/>
        <v>0</v>
      </c>
      <c r="H26" s="1010"/>
      <c r="I26" s="1010"/>
      <c r="J26" s="862">
        <f>IF(D32&gt;=D33,D26,IF(E32&gt;=D33,E26,F26))</f>
        <v>0</v>
      </c>
      <c r="K26" s="863">
        <f>温度条件他根拠!E36</f>
        <v>3.5</v>
      </c>
      <c r="L26" s="864">
        <f t="shared" si="8"/>
        <v>0</v>
      </c>
      <c r="M26" s="896"/>
      <c r="N26" s="865">
        <f t="shared" ref="N26:N31" si="10">G26</f>
        <v>0</v>
      </c>
      <c r="O26" s="863">
        <f t="shared" ref="O26:O31" si="11">K26</f>
        <v>3.5</v>
      </c>
      <c r="P26" s="864">
        <f t="shared" si="9"/>
        <v>0</v>
      </c>
    </row>
    <row r="27" spans="2:16">
      <c r="B27" s="2077"/>
      <c r="C27" s="861" t="str">
        <f t="shared" si="4"/>
        <v>南東</v>
      </c>
      <c r="D27" s="847">
        <f t="shared" si="7"/>
        <v>0</v>
      </c>
      <c r="E27" s="847">
        <f t="shared" si="7"/>
        <v>0</v>
      </c>
      <c r="F27" s="847">
        <f t="shared" si="7"/>
        <v>0</v>
      </c>
      <c r="G27" s="848">
        <f t="shared" si="7"/>
        <v>0</v>
      </c>
      <c r="H27" s="1010"/>
      <c r="I27" s="1010"/>
      <c r="J27" s="862">
        <f>IF(D32&gt;=D33,D27,IF(E32&gt;=D33,E27,F27))</f>
        <v>0</v>
      </c>
      <c r="K27" s="863">
        <f>温度条件他根拠!F36</f>
        <v>4.5</v>
      </c>
      <c r="L27" s="864">
        <f t="shared" si="8"/>
        <v>0</v>
      </c>
      <c r="M27" s="896"/>
      <c r="N27" s="865">
        <f t="shared" si="10"/>
        <v>0</v>
      </c>
      <c r="O27" s="863">
        <f t="shared" si="11"/>
        <v>4.5</v>
      </c>
      <c r="P27" s="864">
        <f t="shared" si="9"/>
        <v>0</v>
      </c>
    </row>
    <row r="28" spans="2:16">
      <c r="B28" s="2077"/>
      <c r="C28" s="861" t="str">
        <f t="shared" si="4"/>
        <v>南</v>
      </c>
      <c r="D28" s="847">
        <f t="shared" si="7"/>
        <v>0</v>
      </c>
      <c r="E28" s="847">
        <f t="shared" si="7"/>
        <v>0</v>
      </c>
      <c r="F28" s="847">
        <f t="shared" si="7"/>
        <v>0</v>
      </c>
      <c r="G28" s="848">
        <f t="shared" si="7"/>
        <v>0</v>
      </c>
      <c r="H28" s="1010"/>
      <c r="I28" s="1010"/>
      <c r="J28" s="862">
        <f>IF(D32&gt;=D33,D28,IF(E32&gt;=D33,E28,F28))</f>
        <v>0</v>
      </c>
      <c r="K28" s="866">
        <f>温度条件他根拠!G36</f>
        <v>5</v>
      </c>
      <c r="L28" s="864">
        <f t="shared" si="8"/>
        <v>0</v>
      </c>
      <c r="M28" s="896"/>
      <c r="N28" s="865">
        <f t="shared" si="10"/>
        <v>0</v>
      </c>
      <c r="O28" s="866">
        <f t="shared" si="11"/>
        <v>5</v>
      </c>
      <c r="P28" s="864">
        <f t="shared" si="9"/>
        <v>0</v>
      </c>
    </row>
    <row r="29" spans="2:16">
      <c r="B29" s="2077"/>
      <c r="C29" s="861" t="str">
        <f t="shared" si="4"/>
        <v>南西</v>
      </c>
      <c r="D29" s="847">
        <f t="shared" si="7"/>
        <v>0</v>
      </c>
      <c r="E29" s="847">
        <f t="shared" si="7"/>
        <v>0</v>
      </c>
      <c r="F29" s="847">
        <f t="shared" si="7"/>
        <v>0</v>
      </c>
      <c r="G29" s="848">
        <f t="shared" si="7"/>
        <v>0</v>
      </c>
      <c r="H29" s="1010"/>
      <c r="I29" s="1010"/>
      <c r="J29" s="862">
        <f>IF(D32&gt;=D33,D29,IF(E32&gt;=D33,E29,F29))</f>
        <v>0</v>
      </c>
      <c r="K29" s="863">
        <f>温度条件他根拠!H36</f>
        <v>4.5</v>
      </c>
      <c r="L29" s="864">
        <f t="shared" si="8"/>
        <v>0</v>
      </c>
      <c r="M29" s="896"/>
      <c r="N29" s="865">
        <f t="shared" si="10"/>
        <v>0</v>
      </c>
      <c r="O29" s="863">
        <f t="shared" si="11"/>
        <v>4.5</v>
      </c>
      <c r="P29" s="864">
        <f t="shared" si="9"/>
        <v>0</v>
      </c>
    </row>
    <row r="30" spans="2:16">
      <c r="B30" s="2077"/>
      <c r="C30" s="861" t="str">
        <f t="shared" si="4"/>
        <v>西</v>
      </c>
      <c r="D30" s="847">
        <f t="shared" si="7"/>
        <v>0</v>
      </c>
      <c r="E30" s="847">
        <f t="shared" si="7"/>
        <v>0</v>
      </c>
      <c r="F30" s="847">
        <f t="shared" si="7"/>
        <v>0</v>
      </c>
      <c r="G30" s="848">
        <f t="shared" si="7"/>
        <v>0</v>
      </c>
      <c r="H30" s="1010"/>
      <c r="I30" s="1010"/>
      <c r="J30" s="862">
        <f>IF(D32&gt;=D33,D30,IF(E32&gt;=D33,E30,F30))</f>
        <v>0</v>
      </c>
      <c r="K30" s="863">
        <f>温度条件他根拠!I36</f>
        <v>3.5</v>
      </c>
      <c r="L30" s="864">
        <f t="shared" si="8"/>
        <v>0</v>
      </c>
      <c r="M30" s="896"/>
      <c r="N30" s="865">
        <f t="shared" si="10"/>
        <v>0</v>
      </c>
      <c r="O30" s="863">
        <f t="shared" si="11"/>
        <v>3.5</v>
      </c>
      <c r="P30" s="864">
        <f t="shared" si="9"/>
        <v>0</v>
      </c>
    </row>
    <row r="31" spans="2:16" ht="13.5" thickBot="1">
      <c r="B31" s="2077"/>
      <c r="C31" s="867" t="str">
        <f t="shared" si="4"/>
        <v>北西</v>
      </c>
      <c r="D31" s="850">
        <f t="shared" si="7"/>
        <v>0</v>
      </c>
      <c r="E31" s="850">
        <f t="shared" si="7"/>
        <v>0</v>
      </c>
      <c r="F31" s="850">
        <f t="shared" si="7"/>
        <v>0</v>
      </c>
      <c r="G31" s="851">
        <f t="shared" si="7"/>
        <v>0</v>
      </c>
      <c r="H31" s="1010"/>
      <c r="I31" s="1010"/>
      <c r="J31" s="868">
        <f>IF(D32&gt;=D33,D31,IF(E32&gt;=D33,E31,F31))</f>
        <v>0</v>
      </c>
      <c r="K31" s="869">
        <f>温度条件他根拠!J36</f>
        <v>2.5</v>
      </c>
      <c r="L31" s="870">
        <f t="shared" si="8"/>
        <v>0</v>
      </c>
      <c r="M31" s="896"/>
      <c r="N31" s="865">
        <f t="shared" si="10"/>
        <v>0</v>
      </c>
      <c r="O31" s="863">
        <f t="shared" si="11"/>
        <v>2.5</v>
      </c>
      <c r="P31" s="870">
        <f t="shared" si="9"/>
        <v>0</v>
      </c>
    </row>
    <row r="32" spans="2:16" ht="13.5" thickBot="1">
      <c r="B32" s="2078"/>
      <c r="C32" s="871" t="str">
        <f t="shared" si="4"/>
        <v>合計</v>
      </c>
      <c r="D32" s="872">
        <f>SUM(D24:D31)</f>
        <v>0</v>
      </c>
      <c r="E32" s="872">
        <f t="shared" ref="E32:G32" si="12">SUM(E24:E31)</f>
        <v>0</v>
      </c>
      <c r="F32" s="872">
        <f t="shared" si="12"/>
        <v>0</v>
      </c>
      <c r="G32" s="873">
        <f t="shared" si="12"/>
        <v>0</v>
      </c>
      <c r="H32" s="1010"/>
      <c r="I32" s="1010"/>
      <c r="J32" s="874">
        <f>SUM(J24:J31)</f>
        <v>0</v>
      </c>
      <c r="K32" s="875"/>
      <c r="L32" s="876">
        <f>SUM(L24:L31)</f>
        <v>0</v>
      </c>
      <c r="M32" s="896"/>
      <c r="N32" s="874">
        <f>SUM(N24:N31)</f>
        <v>0</v>
      </c>
      <c r="O32" s="875"/>
      <c r="P32" s="876">
        <f>SUM(P24:P31)</f>
        <v>0</v>
      </c>
    </row>
    <row r="33" spans="2:30" ht="13.5" thickBot="1">
      <c r="B33" s="2079"/>
      <c r="C33" s="871" t="s">
        <v>1130</v>
      </c>
      <c r="D33" s="2081">
        <f>MAX(D32:F32)</f>
        <v>0</v>
      </c>
      <c r="E33" s="2082"/>
      <c r="F33" s="2083"/>
      <c r="G33" s="873">
        <f>G32</f>
        <v>0</v>
      </c>
      <c r="H33" s="894"/>
      <c r="I33" s="894"/>
      <c r="J33" s="894"/>
      <c r="K33" s="894"/>
      <c r="L33" s="894"/>
      <c r="M33" s="896"/>
      <c r="N33" s="896"/>
      <c r="O33" s="896"/>
      <c r="P33" s="897"/>
    </row>
    <row r="34" spans="2:30">
      <c r="B34" s="893"/>
      <c r="C34" s="894"/>
      <c r="D34" s="895"/>
      <c r="E34" s="894"/>
      <c r="F34" s="894"/>
      <c r="G34" s="895"/>
      <c r="H34" s="894"/>
      <c r="I34" s="894"/>
      <c r="J34" s="894"/>
      <c r="K34" s="894"/>
      <c r="L34" s="894"/>
      <c r="M34" s="896"/>
      <c r="N34" s="896"/>
      <c r="O34" s="896"/>
      <c r="P34" s="897"/>
      <c r="Q34" s="897"/>
      <c r="R34" s="897"/>
      <c r="S34" s="897"/>
      <c r="T34" s="897"/>
      <c r="U34" s="897"/>
      <c r="V34" s="897"/>
      <c r="W34" s="897"/>
      <c r="X34" s="897"/>
      <c r="Y34" s="897"/>
      <c r="Z34" s="897"/>
      <c r="AA34" s="897"/>
      <c r="AB34" s="897"/>
      <c r="AC34" s="897"/>
    </row>
    <row r="35" spans="2:30">
      <c r="B35" s="893"/>
      <c r="C35" s="894"/>
      <c r="D35" s="895"/>
      <c r="E35" s="894"/>
      <c r="F35" s="894"/>
      <c r="G35" s="895"/>
      <c r="H35" s="894"/>
      <c r="I35" s="894"/>
      <c r="J35" s="894"/>
      <c r="K35" s="894"/>
      <c r="L35" s="894"/>
      <c r="M35" s="896"/>
      <c r="N35" s="896"/>
      <c r="O35" s="896"/>
      <c r="P35" s="897"/>
      <c r="Q35" s="897"/>
      <c r="R35" s="897"/>
      <c r="S35" s="897"/>
      <c r="T35" s="897"/>
      <c r="U35" s="897"/>
      <c r="V35" s="897"/>
      <c r="W35" s="897"/>
      <c r="X35" s="897"/>
      <c r="Y35" s="897"/>
      <c r="Z35" s="897"/>
      <c r="AA35" s="897"/>
      <c r="AB35" s="897"/>
      <c r="AC35" s="897"/>
    </row>
    <row r="36" spans="2:30">
      <c r="B36" s="893"/>
      <c r="C36" s="894"/>
      <c r="D36" s="895"/>
      <c r="E36" s="894"/>
      <c r="F36" s="894"/>
      <c r="G36" s="895"/>
      <c r="H36" s="894"/>
      <c r="I36" s="894"/>
      <c r="J36" s="894"/>
      <c r="K36" s="894"/>
      <c r="L36" s="894"/>
      <c r="M36" s="896"/>
      <c r="N36" s="896"/>
      <c r="O36" s="896"/>
      <c r="P36" s="897"/>
      <c r="Q36" s="897"/>
      <c r="R36" s="897"/>
      <c r="S36" s="897"/>
      <c r="T36" s="897"/>
      <c r="U36" s="897"/>
      <c r="V36" s="897"/>
      <c r="W36" s="897"/>
      <c r="X36" s="897"/>
      <c r="Y36" s="897"/>
      <c r="Z36" s="897"/>
      <c r="AA36" s="897"/>
      <c r="AB36" s="897"/>
      <c r="AC36" s="897"/>
    </row>
    <row r="37" spans="2:30">
      <c r="B37" s="893"/>
      <c r="C37" s="894"/>
      <c r="D37" s="895"/>
      <c r="E37" s="894"/>
      <c r="F37" s="894"/>
      <c r="G37" s="895"/>
      <c r="H37" s="894"/>
      <c r="I37" s="894"/>
      <c r="J37" s="894"/>
      <c r="K37" s="894"/>
      <c r="L37" s="894"/>
      <c r="M37" s="896"/>
      <c r="N37" s="896"/>
      <c r="O37" s="896"/>
      <c r="P37" s="897"/>
      <c r="Q37" s="897"/>
      <c r="R37" s="897"/>
      <c r="S37" s="897"/>
      <c r="T37" s="897"/>
      <c r="U37" s="897"/>
      <c r="V37" s="897"/>
      <c r="W37" s="897"/>
      <c r="X37" s="897"/>
      <c r="Y37" s="897"/>
      <c r="Z37" s="897"/>
      <c r="AA37" s="897"/>
      <c r="AB37" s="897"/>
      <c r="AC37" s="897"/>
    </row>
    <row r="38" spans="2:30">
      <c r="B38" s="893"/>
      <c r="C38" s="894"/>
      <c r="D38" s="895"/>
      <c r="E38" s="894"/>
      <c r="F38" s="894"/>
      <c r="G38" s="895"/>
      <c r="H38" s="894"/>
      <c r="I38" s="894"/>
      <c r="J38" s="894"/>
      <c r="K38" s="894"/>
      <c r="L38" s="894"/>
      <c r="M38" s="896"/>
      <c r="N38" s="896"/>
      <c r="O38" s="896"/>
      <c r="P38" s="897"/>
      <c r="Q38" s="897"/>
      <c r="R38" s="897"/>
      <c r="S38" s="897"/>
      <c r="T38" s="897"/>
      <c r="U38" s="897"/>
      <c r="V38" s="897"/>
      <c r="W38" s="897"/>
      <c r="X38" s="897"/>
      <c r="Y38" s="897"/>
      <c r="Z38" s="897"/>
      <c r="AA38" s="897"/>
      <c r="AB38" s="897"/>
      <c r="AC38" s="897"/>
    </row>
    <row r="39" spans="2:30">
      <c r="B39" s="893"/>
      <c r="C39" s="894"/>
      <c r="D39" s="895"/>
      <c r="E39" s="894"/>
      <c r="F39" s="894"/>
      <c r="G39" s="895"/>
      <c r="H39" s="894"/>
      <c r="I39" s="894"/>
      <c r="J39" s="894"/>
      <c r="K39" s="894"/>
      <c r="L39" s="894"/>
      <c r="M39" s="896"/>
      <c r="N39" s="896"/>
      <c r="O39" s="896"/>
      <c r="P39" s="897"/>
      <c r="Q39" s="897"/>
      <c r="R39" s="897"/>
      <c r="S39" s="897"/>
      <c r="T39" s="897"/>
      <c r="U39" s="897"/>
      <c r="V39" s="897"/>
      <c r="W39" s="897"/>
      <c r="X39" s="897"/>
      <c r="Y39" s="897"/>
      <c r="Z39" s="897"/>
      <c r="AA39" s="897"/>
      <c r="AB39" s="897"/>
      <c r="AC39" s="897"/>
    </row>
    <row r="40" spans="2:30">
      <c r="B40" s="893"/>
      <c r="C40" s="894"/>
      <c r="D40" s="895"/>
      <c r="E40" s="894"/>
      <c r="F40" s="894"/>
      <c r="G40" s="895"/>
      <c r="H40" s="894"/>
      <c r="I40" s="894"/>
      <c r="J40" s="894"/>
      <c r="K40" s="894"/>
      <c r="L40" s="894"/>
      <c r="M40" s="896"/>
      <c r="N40" s="896"/>
      <c r="O40" s="896"/>
      <c r="P40" s="897"/>
      <c r="Q40" s="897"/>
      <c r="R40" s="897"/>
      <c r="S40" s="897"/>
      <c r="T40" s="897"/>
      <c r="U40" s="897"/>
      <c r="V40" s="897"/>
      <c r="W40" s="897"/>
      <c r="X40" s="897"/>
      <c r="Y40" s="897"/>
      <c r="Z40" s="897"/>
      <c r="AA40" s="897"/>
      <c r="AB40" s="897"/>
      <c r="AC40" s="897"/>
    </row>
    <row r="41" spans="2:30">
      <c r="B41" s="893"/>
      <c r="C41" s="894"/>
      <c r="D41" s="895"/>
      <c r="E41" s="894"/>
      <c r="F41" s="894"/>
      <c r="G41" s="895"/>
      <c r="H41" s="894"/>
      <c r="I41" s="894"/>
      <c r="J41" s="894"/>
      <c r="K41" s="894"/>
      <c r="L41" s="894"/>
      <c r="M41" s="896"/>
      <c r="N41" s="896"/>
      <c r="O41" s="896"/>
      <c r="P41" s="897"/>
      <c r="Q41" s="897"/>
      <c r="R41" s="897"/>
      <c r="S41" s="897"/>
      <c r="T41" s="897"/>
      <c r="U41" s="897"/>
      <c r="V41" s="897"/>
      <c r="W41" s="897"/>
      <c r="X41" s="897"/>
      <c r="Y41" s="897"/>
      <c r="Z41" s="897"/>
      <c r="AA41" s="897"/>
      <c r="AB41" s="897"/>
      <c r="AC41" s="897"/>
    </row>
    <row r="42" spans="2:30">
      <c r="B42" s="893"/>
      <c r="C42" s="894"/>
      <c r="D42" s="895"/>
      <c r="E42" s="894"/>
      <c r="F42" s="894"/>
      <c r="G42" s="895"/>
      <c r="H42" s="894"/>
      <c r="I42" s="894"/>
      <c r="J42" s="894"/>
      <c r="K42" s="894"/>
      <c r="L42" s="894"/>
      <c r="M42" s="896"/>
      <c r="N42" s="896"/>
      <c r="O42" s="896"/>
      <c r="P42" s="897"/>
      <c r="Q42" s="897"/>
      <c r="R42" s="897"/>
      <c r="S42" s="897"/>
      <c r="T42" s="897"/>
      <c r="U42" s="897"/>
      <c r="V42" s="897"/>
      <c r="W42" s="897"/>
      <c r="X42" s="897"/>
      <c r="Y42" s="897"/>
      <c r="Z42" s="897"/>
      <c r="AA42" s="897"/>
      <c r="AB42" s="897"/>
      <c r="AC42" s="897"/>
    </row>
    <row r="43" spans="2:30">
      <c r="B43" s="893"/>
      <c r="C43" s="894"/>
      <c r="D43" s="895"/>
      <c r="E43" s="894"/>
      <c r="F43" s="894"/>
      <c r="G43" s="895"/>
      <c r="H43" s="894"/>
      <c r="I43" s="894"/>
      <c r="J43" s="894"/>
      <c r="K43" s="894"/>
      <c r="L43" s="894"/>
      <c r="M43" s="896"/>
      <c r="N43" s="896"/>
      <c r="O43" s="896"/>
      <c r="P43" s="897"/>
      <c r="Q43" s="897"/>
      <c r="R43" s="897"/>
      <c r="S43" s="897"/>
      <c r="T43" s="897"/>
      <c r="U43" s="897"/>
      <c r="V43" s="897"/>
      <c r="W43" s="897"/>
      <c r="X43" s="897"/>
      <c r="Y43" s="897"/>
      <c r="Z43" s="897"/>
      <c r="AA43" s="897"/>
      <c r="AB43" s="897"/>
      <c r="AC43" s="897"/>
    </row>
    <row r="44" spans="2:30">
      <c r="B44" s="893"/>
      <c r="C44" s="894"/>
      <c r="D44" s="895"/>
      <c r="E44" s="894"/>
      <c r="F44" s="894"/>
      <c r="G44" s="895"/>
      <c r="H44" s="894"/>
      <c r="I44" s="894"/>
      <c r="J44" s="894"/>
      <c r="K44" s="894"/>
      <c r="L44" s="894"/>
      <c r="M44" s="896"/>
      <c r="N44" s="896"/>
      <c r="O44" s="896"/>
      <c r="P44" s="897"/>
      <c r="Q44" s="897"/>
      <c r="R44" s="897"/>
      <c r="S44" s="897"/>
      <c r="T44" s="897"/>
      <c r="U44" s="897"/>
      <c r="V44" s="897"/>
      <c r="W44" s="897"/>
      <c r="X44" s="897"/>
      <c r="Y44" s="897"/>
      <c r="Z44" s="897"/>
      <c r="AA44" s="897"/>
      <c r="AB44" s="897"/>
      <c r="AC44" s="897"/>
    </row>
    <row r="45" spans="2:30">
      <c r="B45" s="1129" t="s">
        <v>183</v>
      </c>
      <c r="C45" s="1129"/>
      <c r="D45" s="1129"/>
      <c r="E45" s="1129"/>
      <c r="F45" s="1129"/>
      <c r="G45" s="1129"/>
      <c r="H45" s="1129"/>
      <c r="I45" s="1129"/>
      <c r="J45" s="1129"/>
      <c r="K45" s="1129"/>
      <c r="L45" s="1129"/>
      <c r="M45" s="1129"/>
      <c r="N45" s="1129"/>
      <c r="O45" s="1129"/>
    </row>
    <row r="46" spans="2:30" ht="36">
      <c r="B46" s="554" t="s">
        <v>0</v>
      </c>
      <c r="C46" s="814" t="s">
        <v>1117</v>
      </c>
      <c r="D46" s="814" t="s">
        <v>1118</v>
      </c>
      <c r="E46" s="814" t="s">
        <v>1116</v>
      </c>
      <c r="F46" s="20" t="s">
        <v>42</v>
      </c>
      <c r="G46" s="20" t="s">
        <v>43</v>
      </c>
      <c r="H46" s="18" t="s">
        <v>35</v>
      </c>
      <c r="I46" s="18" t="s">
        <v>36</v>
      </c>
      <c r="J46" s="20" t="s">
        <v>2</v>
      </c>
      <c r="K46" s="20" t="s">
        <v>3</v>
      </c>
      <c r="L46" s="20" t="s">
        <v>39</v>
      </c>
      <c r="M46" s="20" t="s">
        <v>38</v>
      </c>
      <c r="N46" s="20" t="s">
        <v>37</v>
      </c>
      <c r="O46" s="20" t="s">
        <v>44</v>
      </c>
      <c r="Q46" s="554" t="s">
        <v>0</v>
      </c>
      <c r="R46" s="1017" t="s">
        <v>1391</v>
      </c>
      <c r="S46" s="1017" t="s">
        <v>1392</v>
      </c>
      <c r="T46" s="1014" t="s">
        <v>1116</v>
      </c>
      <c r="U46" s="20" t="s">
        <v>42</v>
      </c>
      <c r="V46" s="20" t="s">
        <v>43</v>
      </c>
      <c r="W46" s="18" t="s">
        <v>35</v>
      </c>
      <c r="X46" s="18" t="s">
        <v>36</v>
      </c>
      <c r="Y46" s="20" t="s">
        <v>2</v>
      </c>
      <c r="Z46" s="20" t="s">
        <v>3</v>
      </c>
      <c r="AA46" s="20" t="s">
        <v>39</v>
      </c>
      <c r="AB46" s="20" t="s">
        <v>38</v>
      </c>
      <c r="AC46" s="20" t="s">
        <v>37</v>
      </c>
      <c r="AD46" s="20" t="s">
        <v>44</v>
      </c>
    </row>
    <row r="47" spans="2:30" ht="36">
      <c r="B47" s="554" t="s">
        <v>14</v>
      </c>
      <c r="C47" s="20" t="s">
        <v>16</v>
      </c>
      <c r="D47" s="20" t="s">
        <v>17</v>
      </c>
      <c r="E47" s="704"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704" t="s">
        <v>18</v>
      </c>
      <c r="U47" s="20" t="s">
        <v>19</v>
      </c>
      <c r="V47" s="20" t="s">
        <v>20</v>
      </c>
      <c r="W47" s="20" t="s">
        <v>30</v>
      </c>
      <c r="X47" s="20" t="s">
        <v>29</v>
      </c>
      <c r="Y47" s="20" t="s">
        <v>21</v>
      </c>
      <c r="Z47" s="20" t="s">
        <v>22</v>
      </c>
      <c r="AA47" s="20" t="s">
        <v>608</v>
      </c>
      <c r="AB47" s="20" t="s">
        <v>607</v>
      </c>
      <c r="AC47" s="555" t="s">
        <v>25</v>
      </c>
      <c r="AD47" s="20" t="s">
        <v>32</v>
      </c>
    </row>
    <row r="48" spans="2:30">
      <c r="B48" s="553" t="s">
        <v>15</v>
      </c>
      <c r="C48" s="835" t="s">
        <v>1115</v>
      </c>
      <c r="D48" s="835" t="s">
        <v>1115</v>
      </c>
      <c r="E48" s="835" t="s">
        <v>172</v>
      </c>
      <c r="F48" s="5" t="s">
        <v>10</v>
      </c>
      <c r="G48" s="5" t="s">
        <v>10</v>
      </c>
      <c r="H48" s="5" t="s">
        <v>27</v>
      </c>
      <c r="I48" s="5" t="s">
        <v>27</v>
      </c>
      <c r="J48" s="5" t="s">
        <v>10</v>
      </c>
      <c r="K48" s="5" t="s">
        <v>10</v>
      </c>
      <c r="L48" s="5" t="s">
        <v>27</v>
      </c>
      <c r="M48" s="5" t="s">
        <v>27</v>
      </c>
      <c r="N48" s="5" t="s">
        <v>27</v>
      </c>
      <c r="O48" s="553" t="s">
        <v>31</v>
      </c>
      <c r="Q48" s="553" t="s">
        <v>15</v>
      </c>
      <c r="R48" s="835" t="s">
        <v>1115</v>
      </c>
      <c r="S48" s="835" t="s">
        <v>1115</v>
      </c>
      <c r="T48" s="835" t="s">
        <v>172</v>
      </c>
      <c r="U48" s="5" t="s">
        <v>10</v>
      </c>
      <c r="V48" s="5" t="s">
        <v>10</v>
      </c>
      <c r="W48" s="5" t="s">
        <v>27</v>
      </c>
      <c r="X48" s="5" t="s">
        <v>27</v>
      </c>
      <c r="Y48" s="5" t="s">
        <v>10</v>
      </c>
      <c r="Z48" s="5" t="s">
        <v>10</v>
      </c>
      <c r="AA48" s="5" t="s">
        <v>27</v>
      </c>
      <c r="AB48" s="5" t="s">
        <v>27</v>
      </c>
      <c r="AC48" s="5" t="s">
        <v>27</v>
      </c>
      <c r="AD48" s="553" t="s">
        <v>31</v>
      </c>
    </row>
    <row r="49" spans="2:30">
      <c r="B49" s="553">
        <v>1</v>
      </c>
      <c r="C49" s="3"/>
      <c r="D49" s="836">
        <f>P32</f>
        <v>0</v>
      </c>
      <c r="E49" s="837">
        <f>温度条件他根拠!E21</f>
        <v>0</v>
      </c>
      <c r="F49" s="838">
        <v>0</v>
      </c>
      <c r="G49" s="839">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553">
        <v>1</v>
      </c>
      <c r="R49" s="3"/>
      <c r="S49" s="836">
        <f>P14</f>
        <v>0</v>
      </c>
      <c r="T49" s="837">
        <f>温度条件他根拠!E21</f>
        <v>0</v>
      </c>
      <c r="U49" s="838">
        <f>F49</f>
        <v>0</v>
      </c>
      <c r="V49" s="1018">
        <f>G49</f>
        <v>0.8</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553">
        <v>2</v>
      </c>
      <c r="C50" s="3"/>
      <c r="D50" s="3"/>
      <c r="E50" s="838">
        <f>E49</f>
        <v>0</v>
      </c>
      <c r="F50" s="838">
        <v>0</v>
      </c>
      <c r="G50" s="839">
        <f>0.8*(温度条件他根拠!$F$10--3.3)/(温度条件他根拠!$F$10-温度条件他根拠!$F$8)</f>
        <v>0.77024793388429758</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553">
        <v>2</v>
      </c>
      <c r="R50" s="3"/>
      <c r="S50" s="3"/>
      <c r="T50" s="838">
        <f>T49</f>
        <v>0</v>
      </c>
      <c r="U50" s="838">
        <f t="shared" ref="U50:V60" si="21">F50</f>
        <v>0</v>
      </c>
      <c r="V50" s="1018">
        <f t="shared" si="21"/>
        <v>0.77024793388429758</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553">
        <v>3</v>
      </c>
      <c r="C51" s="3"/>
      <c r="D51" s="3"/>
      <c r="E51" s="838">
        <f t="shared" ref="E51:E60" si="24">E50</f>
        <v>0</v>
      </c>
      <c r="F51" s="838">
        <v>0</v>
      </c>
      <c r="G51" s="839">
        <f>0.8*(温度条件他根拠!$F$10-0.2)/(温度条件他根拠!$F$10-温度条件他根拠!$F$8)</f>
        <v>0.65454545454545465</v>
      </c>
      <c r="H51" s="7">
        <f t="shared" si="17"/>
        <v>0</v>
      </c>
      <c r="I51" s="7">
        <f t="shared" si="18"/>
        <v>0</v>
      </c>
      <c r="J51" s="2">
        <f t="shared" ref="J51:K60" si="25">J50</f>
        <v>3.55</v>
      </c>
      <c r="K51" s="6">
        <f t="shared" si="25"/>
        <v>3.95</v>
      </c>
      <c r="L51" s="7">
        <f t="shared" si="13"/>
        <v>0</v>
      </c>
      <c r="M51" s="7">
        <f t="shared" si="13"/>
        <v>0</v>
      </c>
      <c r="N51" s="13">
        <f t="shared" si="19"/>
        <v>0</v>
      </c>
      <c r="O51" s="12">
        <f t="shared" si="20"/>
        <v>0</v>
      </c>
      <c r="Q51" s="553">
        <v>3</v>
      </c>
      <c r="R51" s="3"/>
      <c r="S51" s="3"/>
      <c r="T51" s="838">
        <f t="shared" ref="T51:T60" si="26">T50</f>
        <v>0</v>
      </c>
      <c r="U51" s="838">
        <f t="shared" si="21"/>
        <v>0</v>
      </c>
      <c r="V51" s="1018">
        <f t="shared" si="21"/>
        <v>0.65454545454545465</v>
      </c>
      <c r="W51" s="7">
        <f t="shared" si="14"/>
        <v>0</v>
      </c>
      <c r="X51" s="7">
        <f t="shared" si="15"/>
        <v>0</v>
      </c>
      <c r="Y51" s="2">
        <f t="shared" ref="Y51:Z60" si="27">Y50</f>
        <v>3.55</v>
      </c>
      <c r="Z51" s="6">
        <f t="shared" si="27"/>
        <v>3.95</v>
      </c>
      <c r="AA51" s="7">
        <f t="shared" si="16"/>
        <v>0</v>
      </c>
      <c r="AB51" s="7">
        <f t="shared" si="16"/>
        <v>0</v>
      </c>
      <c r="AC51" s="13">
        <f t="shared" si="22"/>
        <v>0</v>
      </c>
      <c r="AD51" s="12">
        <f t="shared" si="23"/>
        <v>0</v>
      </c>
    </row>
    <row r="52" spans="2:30">
      <c r="B52" s="553">
        <v>4</v>
      </c>
      <c r="C52" s="3"/>
      <c r="D52" s="3"/>
      <c r="E52" s="838">
        <f t="shared" si="24"/>
        <v>0</v>
      </c>
      <c r="F52" s="838">
        <v>0</v>
      </c>
      <c r="G52" s="839">
        <f>0.8*(温度条件他根拠!$F$10-5.8)/(温度条件他根拠!$F$10-温度条件他根拠!$F$8)</f>
        <v>0.46942148760330576</v>
      </c>
      <c r="H52" s="7">
        <f t="shared" si="17"/>
        <v>0</v>
      </c>
      <c r="I52" s="7">
        <f t="shared" si="18"/>
        <v>0</v>
      </c>
      <c r="J52" s="2">
        <f t="shared" si="25"/>
        <v>3.55</v>
      </c>
      <c r="K52" s="6">
        <f t="shared" si="25"/>
        <v>3.95</v>
      </c>
      <c r="L52" s="7">
        <f t="shared" si="13"/>
        <v>0</v>
      </c>
      <c r="M52" s="7">
        <f t="shared" si="13"/>
        <v>0</v>
      </c>
      <c r="N52" s="13">
        <f t="shared" si="19"/>
        <v>0</v>
      </c>
      <c r="O52" s="12">
        <f t="shared" si="20"/>
        <v>0</v>
      </c>
      <c r="Q52" s="553">
        <v>4</v>
      </c>
      <c r="R52" s="3"/>
      <c r="S52" s="3"/>
      <c r="T52" s="838">
        <f t="shared" si="26"/>
        <v>0</v>
      </c>
      <c r="U52" s="838">
        <f t="shared" si="21"/>
        <v>0</v>
      </c>
      <c r="V52" s="1018">
        <f t="shared" si="21"/>
        <v>0.46942148760330576</v>
      </c>
      <c r="W52" s="7">
        <f t="shared" si="14"/>
        <v>0</v>
      </c>
      <c r="X52" s="7">
        <f t="shared" si="15"/>
        <v>0</v>
      </c>
      <c r="Y52" s="2">
        <f t="shared" si="27"/>
        <v>3.55</v>
      </c>
      <c r="Z52" s="6">
        <f t="shared" si="27"/>
        <v>3.95</v>
      </c>
      <c r="AA52" s="7">
        <f t="shared" si="16"/>
        <v>0</v>
      </c>
      <c r="AB52" s="7">
        <f t="shared" si="16"/>
        <v>0</v>
      </c>
      <c r="AC52" s="13">
        <f t="shared" si="22"/>
        <v>0</v>
      </c>
      <c r="AD52" s="12">
        <f t="shared" si="23"/>
        <v>0</v>
      </c>
    </row>
    <row r="53" spans="2:30">
      <c r="B53" s="553">
        <v>5</v>
      </c>
      <c r="C53" s="3"/>
      <c r="D53" s="3"/>
      <c r="E53" s="838">
        <f t="shared" si="24"/>
        <v>0</v>
      </c>
      <c r="F53" s="839">
        <f>0.175*(温度条件他根拠!$F$7-温度条件他根拠!$F$9)/(温度条件他根拠!$F$7-23.1)</f>
        <v>6.2171052631578946E-2</v>
      </c>
      <c r="G53" s="839">
        <f>0.2*(温度条件他根拠!$F$10-11.2)/(温度条件他根拠!$F$10-温度条件他根拠!$F$8)</f>
        <v>7.2727272727272738E-2</v>
      </c>
      <c r="H53" s="836">
        <f>$C$56*E53*F53/1000</f>
        <v>0</v>
      </c>
      <c r="I53" s="836">
        <f>G53*E53*$D$49/1000</f>
        <v>0</v>
      </c>
      <c r="J53" s="2">
        <f t="shared" si="25"/>
        <v>3.55</v>
      </c>
      <c r="K53" s="6">
        <f t="shared" si="25"/>
        <v>3.95</v>
      </c>
      <c r="L53" s="7">
        <f t="shared" si="13"/>
        <v>0</v>
      </c>
      <c r="M53" s="7">
        <f t="shared" si="13"/>
        <v>0</v>
      </c>
      <c r="N53" s="13">
        <f t="shared" si="19"/>
        <v>0</v>
      </c>
      <c r="O53" s="12">
        <f t="shared" si="20"/>
        <v>0</v>
      </c>
      <c r="Q53" s="553">
        <v>5</v>
      </c>
      <c r="R53" s="3"/>
      <c r="S53" s="3"/>
      <c r="T53" s="838">
        <f t="shared" si="26"/>
        <v>0</v>
      </c>
      <c r="U53" s="1018">
        <f t="shared" si="21"/>
        <v>6.2171052631578946E-2</v>
      </c>
      <c r="V53" s="1018">
        <f t="shared" si="21"/>
        <v>7.2727272727272738E-2</v>
      </c>
      <c r="W53" s="836">
        <f t="shared" si="14"/>
        <v>0</v>
      </c>
      <c r="X53" s="836">
        <f t="shared" si="15"/>
        <v>0</v>
      </c>
      <c r="Y53" s="2">
        <f t="shared" si="27"/>
        <v>3.55</v>
      </c>
      <c r="Z53" s="6">
        <f t="shared" si="27"/>
        <v>3.95</v>
      </c>
      <c r="AA53" s="7">
        <f t="shared" si="16"/>
        <v>0</v>
      </c>
      <c r="AB53" s="7">
        <f t="shared" si="16"/>
        <v>0</v>
      </c>
      <c r="AC53" s="13">
        <f t="shared" si="22"/>
        <v>0</v>
      </c>
      <c r="AD53" s="12">
        <f t="shared" si="23"/>
        <v>0</v>
      </c>
    </row>
    <row r="54" spans="2:30">
      <c r="B54" s="553">
        <v>6</v>
      </c>
      <c r="C54" s="3"/>
      <c r="D54" s="3"/>
      <c r="E54" s="838">
        <f t="shared" si="24"/>
        <v>0</v>
      </c>
      <c r="F54" s="839">
        <f>0.7*(温度条件他根拠!$F$7-温度条件他根拠!$F$9)/(温度条件他根拠!$F$7-25.5)</f>
        <v>0.36346153846153839</v>
      </c>
      <c r="G54" s="838">
        <v>0</v>
      </c>
      <c r="H54" s="7">
        <f t="shared" si="17"/>
        <v>0</v>
      </c>
      <c r="I54" s="7">
        <f t="shared" si="18"/>
        <v>0</v>
      </c>
      <c r="J54" s="2">
        <f t="shared" si="25"/>
        <v>3.55</v>
      </c>
      <c r="K54" s="6">
        <f t="shared" si="25"/>
        <v>3.95</v>
      </c>
      <c r="L54" s="7">
        <f t="shared" si="13"/>
        <v>0</v>
      </c>
      <c r="M54" s="7">
        <f t="shared" si="13"/>
        <v>0</v>
      </c>
      <c r="N54" s="13">
        <f t="shared" si="19"/>
        <v>0</v>
      </c>
      <c r="O54" s="12">
        <f t="shared" si="20"/>
        <v>0</v>
      </c>
      <c r="Q54" s="553">
        <v>6</v>
      </c>
      <c r="R54" s="3"/>
      <c r="S54" s="3"/>
      <c r="T54" s="838">
        <f t="shared" si="26"/>
        <v>0</v>
      </c>
      <c r="U54" s="1018">
        <f t="shared" si="21"/>
        <v>0.36346153846153839</v>
      </c>
      <c r="V54" s="838">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553">
        <v>7</v>
      </c>
      <c r="C55" s="3"/>
      <c r="D55" s="3"/>
      <c r="E55" s="838">
        <f t="shared" si="24"/>
        <v>0</v>
      </c>
      <c r="F55" s="839">
        <f>0.7*(温度条件他根拠!$F$7-温度条件他根拠!$F$9)/(温度条件他根拠!$F$7-28)</f>
        <v>0.7</v>
      </c>
      <c r="G55" s="838">
        <v>0</v>
      </c>
      <c r="H55" s="7">
        <f t="shared" si="17"/>
        <v>0</v>
      </c>
      <c r="I55" s="7">
        <f t="shared" si="18"/>
        <v>0</v>
      </c>
      <c r="J55" s="2">
        <f t="shared" si="25"/>
        <v>3.55</v>
      </c>
      <c r="K55" s="6">
        <f t="shared" si="25"/>
        <v>3.95</v>
      </c>
      <c r="L55" s="7">
        <f t="shared" si="13"/>
        <v>0</v>
      </c>
      <c r="M55" s="7">
        <f t="shared" si="13"/>
        <v>0</v>
      </c>
      <c r="N55" s="13">
        <f t="shared" si="19"/>
        <v>0</v>
      </c>
      <c r="O55" s="12">
        <f t="shared" si="20"/>
        <v>0</v>
      </c>
      <c r="Q55" s="553">
        <v>7</v>
      </c>
      <c r="R55" s="3"/>
      <c r="S55" s="3"/>
      <c r="T55" s="838">
        <f t="shared" si="26"/>
        <v>0</v>
      </c>
      <c r="U55" s="1018">
        <f t="shared" si="21"/>
        <v>0.7</v>
      </c>
      <c r="V55" s="838">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553">
        <v>8</v>
      </c>
      <c r="C56" s="836">
        <f>L32</f>
        <v>0</v>
      </c>
      <c r="D56" s="3"/>
      <c r="E56" s="838">
        <f t="shared" si="24"/>
        <v>0</v>
      </c>
      <c r="F56" s="839">
        <f>0.7*(温度条件他根拠!$F$7-温度条件他根拠!$F$9)/(温度条件他根拠!$F$7-28)</f>
        <v>0.7</v>
      </c>
      <c r="G56" s="838">
        <v>0</v>
      </c>
      <c r="H56" s="7">
        <f t="shared" si="17"/>
        <v>0</v>
      </c>
      <c r="I56" s="7">
        <f t="shared" si="18"/>
        <v>0</v>
      </c>
      <c r="J56" s="2">
        <f t="shared" si="25"/>
        <v>3.55</v>
      </c>
      <c r="K56" s="6">
        <f t="shared" si="25"/>
        <v>3.95</v>
      </c>
      <c r="L56" s="7">
        <f t="shared" si="13"/>
        <v>0</v>
      </c>
      <c r="M56" s="7">
        <f t="shared" si="13"/>
        <v>0</v>
      </c>
      <c r="N56" s="13">
        <f t="shared" si="19"/>
        <v>0</v>
      </c>
      <c r="O56" s="12">
        <f t="shared" si="20"/>
        <v>0</v>
      </c>
      <c r="Q56" s="553">
        <v>8</v>
      </c>
      <c r="R56" s="836">
        <f>L14</f>
        <v>0</v>
      </c>
      <c r="S56" s="3"/>
      <c r="T56" s="838">
        <f t="shared" si="26"/>
        <v>0</v>
      </c>
      <c r="U56" s="1018">
        <f t="shared" si="21"/>
        <v>0.7</v>
      </c>
      <c r="V56" s="838">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553">
        <v>9</v>
      </c>
      <c r="C57" s="3"/>
      <c r="D57" s="3"/>
      <c r="E57" s="838">
        <f t="shared" si="24"/>
        <v>0</v>
      </c>
      <c r="F57" s="839">
        <f>0.7*(温度条件他根拠!$F$7-温度条件他根拠!$F$9)/(温度条件他根拠!$F$7-25.9)</f>
        <v>0.39374999999999982</v>
      </c>
      <c r="G57" s="838">
        <v>0</v>
      </c>
      <c r="H57" s="7">
        <f t="shared" si="17"/>
        <v>0</v>
      </c>
      <c r="I57" s="7">
        <f t="shared" si="18"/>
        <v>0</v>
      </c>
      <c r="J57" s="2">
        <f t="shared" si="25"/>
        <v>3.55</v>
      </c>
      <c r="K57" s="6">
        <f t="shared" si="25"/>
        <v>3.95</v>
      </c>
      <c r="L57" s="7">
        <f t="shared" si="13"/>
        <v>0</v>
      </c>
      <c r="M57" s="7">
        <f t="shared" si="13"/>
        <v>0</v>
      </c>
      <c r="N57" s="13">
        <f t="shared" si="19"/>
        <v>0</v>
      </c>
      <c r="O57" s="12">
        <f t="shared" si="20"/>
        <v>0</v>
      </c>
      <c r="Q57" s="553">
        <v>9</v>
      </c>
      <c r="R57" s="3"/>
      <c r="S57" s="3"/>
      <c r="T57" s="838">
        <f t="shared" si="26"/>
        <v>0</v>
      </c>
      <c r="U57" s="1018">
        <f t="shared" si="21"/>
        <v>0.39374999999999982</v>
      </c>
      <c r="V57" s="838">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553">
        <v>10</v>
      </c>
      <c r="C58" s="3"/>
      <c r="D58" s="3"/>
      <c r="E58" s="838">
        <f t="shared" si="24"/>
        <v>0</v>
      </c>
      <c r="F58" s="839">
        <f>0.175*(温度条件他根拠!$F$7-温度条件他根拠!$F$9)/(温度条件他根拠!$F$7-20.5)</f>
        <v>4.6323529411764694E-2</v>
      </c>
      <c r="G58" s="839">
        <f>0.2*(温度条件他根拠!$F$10-10.5)/(温度条件他根拠!$F$10-温度条件他根拠!$F$8)</f>
        <v>7.8512396694214878E-2</v>
      </c>
      <c r="H58" s="836">
        <f>$C$56*E58*F58/1000</f>
        <v>0</v>
      </c>
      <c r="I58" s="836">
        <f>G58*E58*$D$49/1000</f>
        <v>0</v>
      </c>
      <c r="J58" s="2">
        <f t="shared" si="25"/>
        <v>3.55</v>
      </c>
      <c r="K58" s="6">
        <f t="shared" si="25"/>
        <v>3.95</v>
      </c>
      <c r="L58" s="7">
        <f t="shared" si="13"/>
        <v>0</v>
      </c>
      <c r="M58" s="7">
        <f t="shared" si="13"/>
        <v>0</v>
      </c>
      <c r="N58" s="13">
        <f t="shared" si="19"/>
        <v>0</v>
      </c>
      <c r="O58" s="12">
        <f t="shared" si="20"/>
        <v>0</v>
      </c>
      <c r="Q58" s="553">
        <v>10</v>
      </c>
      <c r="R58" s="3"/>
      <c r="S58" s="3"/>
      <c r="T58" s="838">
        <f t="shared" si="26"/>
        <v>0</v>
      </c>
      <c r="U58" s="1018">
        <f t="shared" si="21"/>
        <v>4.6323529411764694E-2</v>
      </c>
      <c r="V58" s="1018">
        <f t="shared" si="21"/>
        <v>7.8512396694214878E-2</v>
      </c>
      <c r="W58" s="836">
        <f>($R$56*T58*U58/1000)</f>
        <v>0</v>
      </c>
      <c r="X58" s="836">
        <f>(V58*T58*$S$49/1000)</f>
        <v>0</v>
      </c>
      <c r="Y58" s="2">
        <f t="shared" si="27"/>
        <v>3.55</v>
      </c>
      <c r="Z58" s="6">
        <f t="shared" si="27"/>
        <v>3.95</v>
      </c>
      <c r="AA58" s="7">
        <f t="shared" si="16"/>
        <v>0</v>
      </c>
      <c r="AB58" s="7">
        <f t="shared" si="16"/>
        <v>0</v>
      </c>
      <c r="AC58" s="13">
        <f t="shared" si="22"/>
        <v>0</v>
      </c>
      <c r="AD58" s="12">
        <f t="shared" si="23"/>
        <v>0</v>
      </c>
    </row>
    <row r="59" spans="2:30">
      <c r="B59" s="553">
        <v>11</v>
      </c>
      <c r="C59" s="3"/>
      <c r="D59" s="3"/>
      <c r="E59" s="838">
        <f t="shared" si="24"/>
        <v>0</v>
      </c>
      <c r="F59" s="838">
        <v>0</v>
      </c>
      <c r="G59" s="839">
        <f>0.8*(温度条件他根拠!$F$10-3.5)/(温度条件他根拠!$F$10-温度条件他根拠!$F$8)</f>
        <v>0.54545454545454553</v>
      </c>
      <c r="H59" s="7">
        <f t="shared" si="17"/>
        <v>0</v>
      </c>
      <c r="I59" s="7">
        <f t="shared" si="18"/>
        <v>0</v>
      </c>
      <c r="J59" s="2">
        <f t="shared" si="25"/>
        <v>3.55</v>
      </c>
      <c r="K59" s="6">
        <f t="shared" si="25"/>
        <v>3.95</v>
      </c>
      <c r="L59" s="7">
        <f t="shared" si="13"/>
        <v>0</v>
      </c>
      <c r="M59" s="7">
        <f t="shared" si="13"/>
        <v>0</v>
      </c>
      <c r="N59" s="13">
        <f t="shared" si="19"/>
        <v>0</v>
      </c>
      <c r="O59" s="12">
        <f t="shared" si="20"/>
        <v>0</v>
      </c>
      <c r="Q59" s="553">
        <v>11</v>
      </c>
      <c r="R59" s="3"/>
      <c r="S59" s="3"/>
      <c r="T59" s="838">
        <f t="shared" si="26"/>
        <v>0</v>
      </c>
      <c r="U59" s="838">
        <f t="shared" si="21"/>
        <v>0</v>
      </c>
      <c r="V59" s="1018">
        <f t="shared" si="21"/>
        <v>0.54545454545454553</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553">
        <v>12</v>
      </c>
      <c r="C60" s="3"/>
      <c r="D60" s="3"/>
      <c r="E60" s="838">
        <f t="shared" si="24"/>
        <v>0</v>
      </c>
      <c r="F60" s="838">
        <v>0</v>
      </c>
      <c r="G60" s="839">
        <f>0.8*(温度条件他根拠!$F$10--0.2)/(温度条件他根拠!$F$10-温度条件他根拠!$F$8)</f>
        <v>0.66776859504132235</v>
      </c>
      <c r="H60" s="7">
        <f t="shared" si="17"/>
        <v>0</v>
      </c>
      <c r="I60" s="7">
        <f t="shared" si="18"/>
        <v>0</v>
      </c>
      <c r="J60" s="2">
        <f t="shared" si="25"/>
        <v>3.55</v>
      </c>
      <c r="K60" s="6">
        <f t="shared" si="25"/>
        <v>3.95</v>
      </c>
      <c r="L60" s="7">
        <f t="shared" si="13"/>
        <v>0</v>
      </c>
      <c r="M60" s="7">
        <f t="shared" si="13"/>
        <v>0</v>
      </c>
      <c r="N60" s="13">
        <f t="shared" si="19"/>
        <v>0</v>
      </c>
      <c r="O60" s="12">
        <f t="shared" si="20"/>
        <v>0</v>
      </c>
      <c r="Q60" s="553">
        <v>12</v>
      </c>
      <c r="R60" s="3"/>
      <c r="S60" s="3"/>
      <c r="T60" s="838">
        <f t="shared" si="26"/>
        <v>0</v>
      </c>
      <c r="U60" s="838">
        <f t="shared" si="21"/>
        <v>0</v>
      </c>
      <c r="V60" s="1018">
        <f t="shared" si="21"/>
        <v>0.66776859504132235</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1079</v>
      </c>
    </row>
    <row r="86" spans="2:3">
      <c r="B86" s="691">
        <v>43927</v>
      </c>
      <c r="C86" s="690" t="s">
        <v>866</v>
      </c>
    </row>
    <row r="87" spans="2:3">
      <c r="B87" s="691">
        <v>44634</v>
      </c>
      <c r="C87" s="690" t="s">
        <v>1119</v>
      </c>
    </row>
    <row r="88" spans="2:3">
      <c r="C88" s="690" t="s">
        <v>1120</v>
      </c>
    </row>
    <row r="89" spans="2:3">
      <c r="C89" s="1" t="s">
        <v>1121</v>
      </c>
    </row>
    <row r="90" spans="2:3">
      <c r="C90" s="1" t="s">
        <v>1133</v>
      </c>
    </row>
    <row r="91" spans="2:3">
      <c r="C91" s="1" t="s">
        <v>1134</v>
      </c>
    </row>
  </sheetData>
  <mergeCells count="21">
    <mergeCell ref="P16:P23"/>
    <mergeCell ref="B15:B23"/>
    <mergeCell ref="B24:B33"/>
    <mergeCell ref="D33:F33"/>
    <mergeCell ref="B2:O2"/>
    <mergeCell ref="J3:J5"/>
    <mergeCell ref="K3:K5"/>
    <mergeCell ref="L3:L5"/>
    <mergeCell ref="N3:N5"/>
    <mergeCell ref="O3:O5"/>
    <mergeCell ref="P3:P5"/>
    <mergeCell ref="J16:J22"/>
    <mergeCell ref="K16:K23"/>
    <mergeCell ref="L16:L23"/>
    <mergeCell ref="N16:N22"/>
    <mergeCell ref="O16:O23"/>
    <mergeCell ref="B45:O45"/>
    <mergeCell ref="B4:C5"/>
    <mergeCell ref="D4:F4"/>
    <mergeCell ref="G4:G5"/>
    <mergeCell ref="B6:B14"/>
  </mergeCells>
  <phoneticPr fontId="2"/>
  <pageMargins left="0" right="0" top="0.55118110236220474" bottom="0.15748031496062992" header="0.11811023622047245" footer="0"/>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FA7AF-8851-4E00-A896-AF39503B1948}">
  <sheetPr codeName="Sheet36">
    <tabColor rgb="FF00B0F0"/>
  </sheetPr>
  <dimension ref="B1:AD91"/>
  <sheetViews>
    <sheetView topLeftCell="H1" workbookViewId="0">
      <selection activeCell="H9" sqref="H9"/>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705" t="str">
        <f ca="1">RIGHT(CELL("filename",C1),LEN(CELL("filename",C1))-FIND("]",CELL("filename",C1)))</f>
        <v>秩父市外壁断熱</v>
      </c>
    </row>
    <row r="2" spans="2:16" ht="13.5" thickBot="1">
      <c r="B2" s="2080"/>
      <c r="C2" s="2080"/>
      <c r="D2" s="2080"/>
      <c r="E2" s="2080"/>
      <c r="F2" s="2080"/>
      <c r="G2" s="2080"/>
      <c r="H2" s="2080"/>
      <c r="I2" s="2080"/>
      <c r="J2" s="2080"/>
      <c r="K2" s="2080"/>
      <c r="L2" s="2080"/>
      <c r="M2" s="2080"/>
      <c r="N2" s="2080"/>
      <c r="O2" s="2080"/>
    </row>
    <row r="3" spans="2:16" ht="13.5" thickBot="1">
      <c r="B3" s="840" t="s">
        <v>1093</v>
      </c>
      <c r="C3" s="890"/>
      <c r="D3" s="841"/>
      <c r="E3" s="841"/>
      <c r="F3" s="841"/>
      <c r="G3" s="841"/>
      <c r="H3" s="1010"/>
      <c r="I3" s="1010"/>
      <c r="J3" s="2096" t="str">
        <f>J16</f>
        <v>D
時間帯合計値の最大値の方位別冷房負荷（計算採用値）</v>
      </c>
      <c r="K3" s="2099" t="str">
        <f>K16</f>
        <v>E
操業時間
(h/日)</v>
      </c>
      <c r="L3" s="2102" t="str">
        <f>L16</f>
        <v>①
＝ΣD×E
方位別
日冷房
負荷
削減量
（W・h/日）</v>
      </c>
      <c r="M3" s="897"/>
      <c r="N3" s="2096" t="str">
        <f>N16</f>
        <v>F
時間帯合計値の最大値の方位別暖房負荷（計算採用値）</v>
      </c>
      <c r="O3" s="2099" t="str">
        <f>O16</f>
        <v>E
操業時間
(h/日)</v>
      </c>
      <c r="P3" s="2102" t="str">
        <f>P16</f>
        <v>②
＝ΣF×E
方位別
日暖房
負荷
削減量
（W・h/日）</v>
      </c>
    </row>
    <row r="4" spans="2:16">
      <c r="B4" s="2088" t="s">
        <v>1094</v>
      </c>
      <c r="C4" s="2089"/>
      <c r="D4" s="2089" t="s">
        <v>1095</v>
      </c>
      <c r="E4" s="2089"/>
      <c r="F4" s="2089"/>
      <c r="G4" s="2092" t="s">
        <v>1122</v>
      </c>
      <c r="H4" s="894"/>
      <c r="I4" s="894"/>
      <c r="J4" s="2097"/>
      <c r="K4" s="2100"/>
      <c r="L4" s="2103"/>
      <c r="M4" s="896"/>
      <c r="N4" s="2097"/>
      <c r="O4" s="2100"/>
      <c r="P4" s="2103"/>
    </row>
    <row r="5" spans="2:16" ht="13.5" thickBot="1">
      <c r="B5" s="2090"/>
      <c r="C5" s="2091"/>
      <c r="D5" s="842" t="s">
        <v>1098</v>
      </c>
      <c r="E5" s="842" t="s">
        <v>1099</v>
      </c>
      <c r="F5" s="842" t="s">
        <v>1100</v>
      </c>
      <c r="G5" s="2093"/>
      <c r="H5" s="894"/>
      <c r="I5" s="894"/>
      <c r="J5" s="2098"/>
      <c r="K5" s="2101"/>
      <c r="L5" s="2104"/>
      <c r="M5" s="896"/>
      <c r="N5" s="2098"/>
      <c r="O5" s="2101"/>
      <c r="P5" s="2104"/>
    </row>
    <row r="6" spans="2:16">
      <c r="B6" s="2094" t="s">
        <v>1123</v>
      </c>
      <c r="C6" s="881" t="s">
        <v>1395</v>
      </c>
      <c r="D6" s="882">
        <f>結果!H31</f>
        <v>0</v>
      </c>
      <c r="E6" s="882">
        <f>結果!J31</f>
        <v>0</v>
      </c>
      <c r="F6" s="882">
        <f>結果!L31</f>
        <v>0</v>
      </c>
      <c r="G6" s="883">
        <f>結果!Q31</f>
        <v>0</v>
      </c>
      <c r="H6" s="894"/>
      <c r="I6" s="894"/>
      <c r="J6" s="857">
        <f>IF(D32&gt;=D33,D6,IF(E32&gt;=D33,E6,F6))</f>
        <v>0</v>
      </c>
      <c r="K6" s="857">
        <f>K24</f>
        <v>0</v>
      </c>
      <c r="L6" s="859">
        <f>K6*J6</f>
        <v>0</v>
      </c>
      <c r="M6" s="896"/>
      <c r="N6" s="860">
        <f>G6</f>
        <v>0</v>
      </c>
      <c r="O6" s="858">
        <f>K6</f>
        <v>0</v>
      </c>
      <c r="P6" s="859">
        <f>O6*N6</f>
        <v>0</v>
      </c>
    </row>
    <row r="7" spans="2:16">
      <c r="B7" s="2077"/>
      <c r="C7" s="877" t="s">
        <v>1396</v>
      </c>
      <c r="D7" s="847">
        <f>結果!H32</f>
        <v>0</v>
      </c>
      <c r="E7" s="847">
        <f>結果!J32</f>
        <v>0</v>
      </c>
      <c r="F7" s="847">
        <f>結果!L32</f>
        <v>0</v>
      </c>
      <c r="G7" s="879">
        <f>結果!Q32</f>
        <v>0</v>
      </c>
      <c r="H7" s="894"/>
      <c r="I7" s="894"/>
      <c r="J7" s="862">
        <f>IF(D32&gt;=D33,D7,IF(E32&gt;=D33,E7,F7))</f>
        <v>0</v>
      </c>
      <c r="K7" s="862">
        <f>K25</f>
        <v>0</v>
      </c>
      <c r="L7" s="864">
        <f t="shared" ref="L7:L13" si="0">K7*J7</f>
        <v>0</v>
      </c>
      <c r="M7" s="896"/>
      <c r="N7" s="865">
        <f>G7</f>
        <v>0</v>
      </c>
      <c r="O7" s="863">
        <f>K7</f>
        <v>0</v>
      </c>
      <c r="P7" s="864">
        <f t="shared" ref="P7:P13" si="1">O7*N7</f>
        <v>0</v>
      </c>
    </row>
    <row r="8" spans="2:16">
      <c r="B8" s="2077"/>
      <c r="C8" s="877" t="s">
        <v>1397</v>
      </c>
      <c r="D8" s="847">
        <f>結果!H33</f>
        <v>0</v>
      </c>
      <c r="E8" s="847">
        <f>結果!J33</f>
        <v>0</v>
      </c>
      <c r="F8" s="847">
        <f>結果!L33</f>
        <v>0</v>
      </c>
      <c r="G8" s="879">
        <f>結果!Q33</f>
        <v>0</v>
      </c>
      <c r="H8" s="894"/>
      <c r="I8" s="894"/>
      <c r="J8" s="862">
        <f>IF(D32&gt;=D33,D8,IF(E32&gt;=D33,E8,F8))</f>
        <v>0</v>
      </c>
      <c r="K8" s="862">
        <f t="shared" ref="K8:K13" si="2">K26</f>
        <v>0</v>
      </c>
      <c r="L8" s="864">
        <f t="shared" si="0"/>
        <v>0</v>
      </c>
      <c r="M8" s="896"/>
      <c r="N8" s="865">
        <f t="shared" ref="N8:N12" si="3">G8</f>
        <v>0</v>
      </c>
      <c r="O8" s="863">
        <f t="shared" ref="O8:O13" si="4">K8</f>
        <v>0</v>
      </c>
      <c r="P8" s="864">
        <f t="shared" si="1"/>
        <v>0</v>
      </c>
    </row>
    <row r="9" spans="2:16">
      <c r="B9" s="2077"/>
      <c r="C9" s="877" t="s">
        <v>1398</v>
      </c>
      <c r="D9" s="847">
        <f>結果!H34</f>
        <v>0</v>
      </c>
      <c r="E9" s="847">
        <f>結果!J34</f>
        <v>0</v>
      </c>
      <c r="F9" s="847">
        <f>結果!L34</f>
        <v>0</v>
      </c>
      <c r="G9" s="879">
        <f>結果!Q34</f>
        <v>0</v>
      </c>
      <c r="H9" s="894"/>
      <c r="I9" s="894"/>
      <c r="J9" s="862">
        <f>IF(D32&gt;=D33,D9,IF(E32&gt;=D33,E9,F9))</f>
        <v>0</v>
      </c>
      <c r="K9" s="862">
        <f t="shared" si="2"/>
        <v>0</v>
      </c>
      <c r="L9" s="864">
        <f t="shared" si="0"/>
        <v>0</v>
      </c>
      <c r="M9" s="896"/>
      <c r="N9" s="865">
        <f t="shared" si="3"/>
        <v>0</v>
      </c>
      <c r="O9" s="863">
        <f t="shared" si="4"/>
        <v>0</v>
      </c>
      <c r="P9" s="864">
        <f t="shared" si="1"/>
        <v>0</v>
      </c>
    </row>
    <row r="10" spans="2:16">
      <c r="B10" s="2077"/>
      <c r="C10" s="877" t="s">
        <v>1399</v>
      </c>
      <c r="D10" s="847">
        <f>結果!H35</f>
        <v>0</v>
      </c>
      <c r="E10" s="847">
        <f>結果!J35</f>
        <v>0</v>
      </c>
      <c r="F10" s="847">
        <f>結果!L35</f>
        <v>0</v>
      </c>
      <c r="G10" s="879">
        <f>結果!Q35</f>
        <v>0</v>
      </c>
      <c r="H10" s="894"/>
      <c r="I10" s="894"/>
      <c r="J10" s="862">
        <f>IF(D32&gt;=D33,D10,IF(E32&gt;=D33,E10,F10))</f>
        <v>0</v>
      </c>
      <c r="K10" s="862">
        <f t="shared" si="2"/>
        <v>0</v>
      </c>
      <c r="L10" s="864">
        <f t="shared" si="0"/>
        <v>0</v>
      </c>
      <c r="M10" s="896"/>
      <c r="N10" s="865">
        <f t="shared" si="3"/>
        <v>0</v>
      </c>
      <c r="O10" s="862">
        <f t="shared" si="4"/>
        <v>0</v>
      </c>
      <c r="P10" s="864">
        <f t="shared" si="1"/>
        <v>0</v>
      </c>
    </row>
    <row r="11" spans="2:16">
      <c r="B11" s="2077"/>
      <c r="C11" s="877" t="s">
        <v>1400</v>
      </c>
      <c r="D11" s="847">
        <f>結果!H36</f>
        <v>0</v>
      </c>
      <c r="E11" s="847">
        <f>結果!J36</f>
        <v>0</v>
      </c>
      <c r="F11" s="847">
        <f>結果!L36</f>
        <v>0</v>
      </c>
      <c r="G11" s="879">
        <f>結果!Q36</f>
        <v>0</v>
      </c>
      <c r="H11" s="894"/>
      <c r="I11" s="894"/>
      <c r="J11" s="862">
        <f>IF(D32&gt;=D33,D11,IF(E32&gt;=D33,E11,F11))</f>
        <v>0</v>
      </c>
      <c r="K11" s="862">
        <f t="shared" si="2"/>
        <v>0</v>
      </c>
      <c r="L11" s="864">
        <f t="shared" si="0"/>
        <v>0</v>
      </c>
      <c r="M11" s="896"/>
      <c r="N11" s="865">
        <f t="shared" si="3"/>
        <v>0</v>
      </c>
      <c r="O11" s="863">
        <f t="shared" si="4"/>
        <v>0</v>
      </c>
      <c r="P11" s="864">
        <f t="shared" si="1"/>
        <v>0</v>
      </c>
    </row>
    <row r="12" spans="2:16">
      <c r="B12" s="2077"/>
      <c r="C12" s="877" t="s">
        <v>1401</v>
      </c>
      <c r="D12" s="847">
        <f>結果!H37</f>
        <v>0</v>
      </c>
      <c r="E12" s="847">
        <f>結果!J37</f>
        <v>0</v>
      </c>
      <c r="F12" s="847">
        <f>結果!L37</f>
        <v>0</v>
      </c>
      <c r="G12" s="879">
        <f>結果!Q37</f>
        <v>0</v>
      </c>
      <c r="H12" s="894"/>
      <c r="I12" s="894"/>
      <c r="J12" s="862">
        <f>IF(D32&gt;=D33,D12,IF(E32&gt;=D33,E12,F12))</f>
        <v>0</v>
      </c>
      <c r="K12" s="862">
        <f t="shared" si="2"/>
        <v>0</v>
      </c>
      <c r="L12" s="864">
        <f t="shared" si="0"/>
        <v>0</v>
      </c>
      <c r="M12" s="896"/>
      <c r="N12" s="865">
        <f t="shared" si="3"/>
        <v>0</v>
      </c>
      <c r="O12" s="863">
        <f t="shared" si="4"/>
        <v>0</v>
      </c>
      <c r="P12" s="864">
        <f t="shared" si="1"/>
        <v>0</v>
      </c>
    </row>
    <row r="13" spans="2:16" ht="13.5" thickBot="1">
      <c r="B13" s="2077"/>
      <c r="C13" s="878" t="s">
        <v>1402</v>
      </c>
      <c r="D13" s="850">
        <f>結果!H38</f>
        <v>0</v>
      </c>
      <c r="E13" s="850">
        <f>結果!J38</f>
        <v>0</v>
      </c>
      <c r="F13" s="850">
        <f>結果!L38</f>
        <v>0</v>
      </c>
      <c r="G13" s="880">
        <f>結果!Q38</f>
        <v>0</v>
      </c>
      <c r="H13" s="894"/>
      <c r="I13" s="894"/>
      <c r="J13" s="868">
        <f>IF(D32&gt;=D33,D13,IF(E32&gt;=D33,E13,F13))</f>
        <v>0</v>
      </c>
      <c r="K13" s="862">
        <f t="shared" si="2"/>
        <v>0</v>
      </c>
      <c r="L13" s="870">
        <f t="shared" si="0"/>
        <v>0</v>
      </c>
      <c r="M13" s="896"/>
      <c r="N13" s="865">
        <f>G13</f>
        <v>0</v>
      </c>
      <c r="O13" s="863">
        <f t="shared" si="4"/>
        <v>0</v>
      </c>
      <c r="P13" s="870">
        <f t="shared" si="1"/>
        <v>0</v>
      </c>
    </row>
    <row r="14" spans="2:16" ht="13.5" customHeight="1" thickBot="1">
      <c r="B14" s="2095"/>
      <c r="C14" s="884" t="s">
        <v>1124</v>
      </c>
      <c r="D14" s="885">
        <f>SUM(D6:D13)</f>
        <v>0</v>
      </c>
      <c r="E14" s="885">
        <f t="shared" ref="E14:G14" si="5">SUM(E6:E13)</f>
        <v>0</v>
      </c>
      <c r="F14" s="885">
        <f t="shared" si="5"/>
        <v>0</v>
      </c>
      <c r="G14" s="886">
        <f t="shared" si="5"/>
        <v>0</v>
      </c>
      <c r="H14" s="894"/>
      <c r="I14" s="894"/>
      <c r="J14" s="874">
        <f>SUM(J6:J13)</f>
        <v>0</v>
      </c>
      <c r="K14" s="875"/>
      <c r="L14" s="876">
        <f>SUM(L6:L13)</f>
        <v>0</v>
      </c>
      <c r="M14" s="896"/>
      <c r="N14" s="874">
        <f>SUM(N6:N13)</f>
        <v>0</v>
      </c>
      <c r="O14" s="875"/>
      <c r="P14" s="876">
        <f>SUM(P6:P13)</f>
        <v>0</v>
      </c>
    </row>
    <row r="15" spans="2:16" ht="13.5" thickBot="1">
      <c r="B15" s="2088" t="s">
        <v>1128</v>
      </c>
      <c r="C15" s="843" t="str">
        <f>C6</f>
        <v>北</v>
      </c>
      <c r="D15" s="844">
        <f>結果!H71</f>
        <v>0</v>
      </c>
      <c r="E15" s="844">
        <f>結果!J71</f>
        <v>0</v>
      </c>
      <c r="F15" s="844">
        <f>結果!L71</f>
        <v>0</v>
      </c>
      <c r="G15" s="845">
        <f>結果!Q71</f>
        <v>0</v>
      </c>
      <c r="H15" s="1010"/>
      <c r="I15" s="1010"/>
      <c r="J15" s="894"/>
      <c r="K15" s="894"/>
      <c r="L15" s="894"/>
      <c r="M15" s="896"/>
      <c r="N15" s="896"/>
      <c r="O15" s="896"/>
      <c r="P15" s="897"/>
    </row>
    <row r="16" spans="2:16">
      <c r="B16" s="2077"/>
      <c r="C16" s="846" t="str">
        <f t="shared" ref="C16:C32" si="6">C7</f>
        <v>北東</v>
      </c>
      <c r="D16" s="847">
        <f>結果!H72</f>
        <v>0</v>
      </c>
      <c r="E16" s="847">
        <f>結果!J72</f>
        <v>0</v>
      </c>
      <c r="F16" s="847">
        <f>結果!L72</f>
        <v>0</v>
      </c>
      <c r="G16" s="848">
        <f>結果!Q72</f>
        <v>0</v>
      </c>
      <c r="H16" s="1010"/>
      <c r="I16" s="1010"/>
      <c r="J16" s="2084" t="s">
        <v>1125</v>
      </c>
      <c r="K16" s="2084" t="s">
        <v>1140</v>
      </c>
      <c r="L16" s="2084" t="s">
        <v>1126</v>
      </c>
      <c r="M16" s="896"/>
      <c r="N16" s="2084" t="s">
        <v>1127</v>
      </c>
      <c r="O16" s="2084" t="s">
        <v>1140</v>
      </c>
      <c r="P16" s="2084" t="s">
        <v>1390</v>
      </c>
    </row>
    <row r="17" spans="2:16">
      <c r="B17" s="2077"/>
      <c r="C17" s="846" t="str">
        <f t="shared" si="6"/>
        <v>東</v>
      </c>
      <c r="D17" s="847">
        <f>結果!H73</f>
        <v>0</v>
      </c>
      <c r="E17" s="847">
        <f>結果!J73</f>
        <v>0</v>
      </c>
      <c r="F17" s="847">
        <f>結果!L73</f>
        <v>0</v>
      </c>
      <c r="G17" s="848">
        <f>結果!Q73</f>
        <v>0</v>
      </c>
      <c r="H17" s="1010"/>
      <c r="I17" s="1010"/>
      <c r="J17" s="2085"/>
      <c r="K17" s="2085"/>
      <c r="L17" s="2085"/>
      <c r="M17" s="896"/>
      <c r="N17" s="2085"/>
      <c r="O17" s="2085"/>
      <c r="P17" s="2085"/>
    </row>
    <row r="18" spans="2:16">
      <c r="B18" s="2077"/>
      <c r="C18" s="846" t="str">
        <f t="shared" si="6"/>
        <v>南東</v>
      </c>
      <c r="D18" s="847">
        <f>結果!H74</f>
        <v>0</v>
      </c>
      <c r="E18" s="847">
        <f>結果!J74</f>
        <v>0</v>
      </c>
      <c r="F18" s="847">
        <f>結果!L74</f>
        <v>0</v>
      </c>
      <c r="G18" s="848">
        <f>結果!Q74</f>
        <v>0</v>
      </c>
      <c r="H18" s="1010"/>
      <c r="I18" s="1010"/>
      <c r="J18" s="2085"/>
      <c r="K18" s="2085"/>
      <c r="L18" s="2085"/>
      <c r="M18" s="896"/>
      <c r="N18" s="2085"/>
      <c r="O18" s="2085"/>
      <c r="P18" s="2085"/>
    </row>
    <row r="19" spans="2:16">
      <c r="B19" s="2077"/>
      <c r="C19" s="846" t="str">
        <f t="shared" si="6"/>
        <v>南</v>
      </c>
      <c r="D19" s="847">
        <f>結果!H75</f>
        <v>0</v>
      </c>
      <c r="E19" s="847">
        <f>結果!J75</f>
        <v>0</v>
      </c>
      <c r="F19" s="847">
        <f>結果!L75</f>
        <v>0</v>
      </c>
      <c r="G19" s="848">
        <f>結果!Q75</f>
        <v>0</v>
      </c>
      <c r="H19" s="1010"/>
      <c r="I19" s="1010"/>
      <c r="J19" s="2085"/>
      <c r="K19" s="2085"/>
      <c r="L19" s="2085"/>
      <c r="M19" s="896"/>
      <c r="N19" s="2085"/>
      <c r="O19" s="2085"/>
      <c r="P19" s="2085"/>
    </row>
    <row r="20" spans="2:16">
      <c r="B20" s="2077"/>
      <c r="C20" s="846" t="str">
        <f t="shared" si="6"/>
        <v>南西</v>
      </c>
      <c r="D20" s="847">
        <f>結果!H76</f>
        <v>0</v>
      </c>
      <c r="E20" s="847">
        <f>結果!J76</f>
        <v>0</v>
      </c>
      <c r="F20" s="847">
        <f>結果!L76</f>
        <v>0</v>
      </c>
      <c r="G20" s="848">
        <f>結果!Q76</f>
        <v>0</v>
      </c>
      <c r="H20" s="1010"/>
      <c r="I20" s="1010"/>
      <c r="J20" s="2085"/>
      <c r="K20" s="2085"/>
      <c r="L20" s="2085"/>
      <c r="M20" s="896"/>
      <c r="N20" s="2085"/>
      <c r="O20" s="2085"/>
      <c r="P20" s="2085"/>
    </row>
    <row r="21" spans="2:16">
      <c r="B21" s="2077"/>
      <c r="C21" s="846" t="str">
        <f t="shared" si="6"/>
        <v>西</v>
      </c>
      <c r="D21" s="847">
        <f>結果!H77</f>
        <v>0</v>
      </c>
      <c r="E21" s="847">
        <f>結果!J77</f>
        <v>0</v>
      </c>
      <c r="F21" s="847">
        <f>結果!L77</f>
        <v>0</v>
      </c>
      <c r="G21" s="848">
        <f>結果!Q77</f>
        <v>0</v>
      </c>
      <c r="H21" s="1010"/>
      <c r="I21" s="1010"/>
      <c r="J21" s="2085"/>
      <c r="K21" s="2085"/>
      <c r="L21" s="2085"/>
      <c r="M21" s="896"/>
      <c r="N21" s="2085"/>
      <c r="O21" s="2085"/>
      <c r="P21" s="2085"/>
    </row>
    <row r="22" spans="2:16" ht="13.5" thickBot="1">
      <c r="B22" s="2077"/>
      <c r="C22" s="849" t="str">
        <f t="shared" si="6"/>
        <v>北西</v>
      </c>
      <c r="D22" s="850">
        <f>結果!H78</f>
        <v>0</v>
      </c>
      <c r="E22" s="850">
        <f>結果!J78</f>
        <v>0</v>
      </c>
      <c r="F22" s="850">
        <f>結果!L78</f>
        <v>0</v>
      </c>
      <c r="G22" s="851">
        <f>結果!Q78</f>
        <v>0</v>
      </c>
      <c r="H22" s="1010"/>
      <c r="I22" s="1010"/>
      <c r="J22" s="2086"/>
      <c r="K22" s="2085"/>
      <c r="L22" s="2085"/>
      <c r="M22" s="896"/>
      <c r="N22" s="2085"/>
      <c r="O22" s="2085"/>
      <c r="P22" s="2085"/>
    </row>
    <row r="23" spans="2:16" ht="13.5" thickBot="1">
      <c r="B23" s="2079"/>
      <c r="C23" s="852" t="str">
        <f t="shared" si="6"/>
        <v>合計</v>
      </c>
      <c r="D23" s="853">
        <f>SUM(D15:D22)</f>
        <v>0</v>
      </c>
      <c r="E23" s="853">
        <f t="shared" ref="E23:G23" si="7">SUM(E15:E22)</f>
        <v>0</v>
      </c>
      <c r="F23" s="853">
        <f t="shared" si="7"/>
        <v>0</v>
      </c>
      <c r="G23" s="854">
        <f t="shared" si="7"/>
        <v>0</v>
      </c>
      <c r="H23" s="1010"/>
      <c r="I23" s="1010"/>
      <c r="J23" s="855" t="str">
        <f>IF(D32&gt;=D33,"９時",IF(E32&gt;=D33,"１２時","１５時"))</f>
        <v>９時</v>
      </c>
      <c r="K23" s="2087"/>
      <c r="L23" s="2087"/>
      <c r="M23" s="896"/>
      <c r="N23" s="999"/>
      <c r="O23" s="2087"/>
      <c r="P23" s="2087"/>
    </row>
    <row r="24" spans="2:16">
      <c r="B24" s="2076" t="s">
        <v>1129</v>
      </c>
      <c r="C24" s="856" t="str">
        <f>C15</f>
        <v>北</v>
      </c>
      <c r="D24" s="844">
        <f>D6-D15</f>
        <v>0</v>
      </c>
      <c r="E24" s="844">
        <f t="shared" ref="E24:G24" si="8">E6-E15</f>
        <v>0</v>
      </c>
      <c r="F24" s="844">
        <f t="shared" si="8"/>
        <v>0</v>
      </c>
      <c r="G24" s="845">
        <f t="shared" si="8"/>
        <v>0</v>
      </c>
      <c r="H24" s="1010"/>
      <c r="I24" s="1010"/>
      <c r="J24" s="857">
        <f>IF(D32&gt;=D33,D24,IF(E32&gt;=D33,E24,F24))</f>
        <v>0</v>
      </c>
      <c r="K24" s="908">
        <f>温度条件他根拠!E29</f>
        <v>0</v>
      </c>
      <c r="L24" s="859">
        <f>K24*J24</f>
        <v>0</v>
      </c>
      <c r="M24" s="896"/>
      <c r="N24" s="860">
        <f>G24</f>
        <v>0</v>
      </c>
      <c r="O24" s="860">
        <f>K24</f>
        <v>0</v>
      </c>
      <c r="P24" s="859">
        <f>O24*N24</f>
        <v>0</v>
      </c>
    </row>
    <row r="25" spans="2:16">
      <c r="B25" s="2077"/>
      <c r="C25" s="861" t="str">
        <f t="shared" si="6"/>
        <v>北東</v>
      </c>
      <c r="D25" s="847">
        <f t="shared" ref="D25:G31" si="9">D7-D16</f>
        <v>0</v>
      </c>
      <c r="E25" s="847">
        <f t="shared" si="9"/>
        <v>0</v>
      </c>
      <c r="F25" s="847">
        <f t="shared" si="9"/>
        <v>0</v>
      </c>
      <c r="G25" s="848">
        <f t="shared" si="9"/>
        <v>0</v>
      </c>
      <c r="H25" s="1010"/>
      <c r="I25" s="1010"/>
      <c r="J25" s="862">
        <f>IF(D32&gt;=D33,D25,IF(E32&gt;=D33,E25,F25))</f>
        <v>0</v>
      </c>
      <c r="K25" s="909">
        <f>K24</f>
        <v>0</v>
      </c>
      <c r="L25" s="864">
        <f t="shared" ref="L25:L31" si="10">K25*J25</f>
        <v>0</v>
      </c>
      <c r="M25" s="896"/>
      <c r="N25" s="865">
        <f>G25</f>
        <v>0</v>
      </c>
      <c r="O25" s="865">
        <f>K25</f>
        <v>0</v>
      </c>
      <c r="P25" s="864">
        <f t="shared" ref="P25:P31" si="11">O25*N25</f>
        <v>0</v>
      </c>
    </row>
    <row r="26" spans="2:16">
      <c r="B26" s="2077"/>
      <c r="C26" s="861" t="str">
        <f t="shared" si="6"/>
        <v>東</v>
      </c>
      <c r="D26" s="847">
        <f t="shared" si="9"/>
        <v>0</v>
      </c>
      <c r="E26" s="847">
        <f t="shared" si="9"/>
        <v>0</v>
      </c>
      <c r="F26" s="847">
        <f t="shared" si="9"/>
        <v>0</v>
      </c>
      <c r="G26" s="848">
        <f t="shared" si="9"/>
        <v>0</v>
      </c>
      <c r="H26" s="1010"/>
      <c r="I26" s="1010"/>
      <c r="J26" s="862">
        <f>IF(D32&gt;=D33,D26,IF(E32&gt;=D33,E26,F26))</f>
        <v>0</v>
      </c>
      <c r="K26" s="909">
        <f>K24</f>
        <v>0</v>
      </c>
      <c r="L26" s="864">
        <f t="shared" si="10"/>
        <v>0</v>
      </c>
      <c r="M26" s="896"/>
      <c r="N26" s="865">
        <f t="shared" ref="N26:N31" si="12">G26</f>
        <v>0</v>
      </c>
      <c r="O26" s="865">
        <f t="shared" ref="O26:O31" si="13">K26</f>
        <v>0</v>
      </c>
      <c r="P26" s="864">
        <f t="shared" si="11"/>
        <v>0</v>
      </c>
    </row>
    <row r="27" spans="2:16">
      <c r="B27" s="2077"/>
      <c r="C27" s="861" t="str">
        <f t="shared" si="6"/>
        <v>南東</v>
      </c>
      <c r="D27" s="847">
        <f t="shared" si="9"/>
        <v>0</v>
      </c>
      <c r="E27" s="847">
        <f t="shared" si="9"/>
        <v>0</v>
      </c>
      <c r="F27" s="847">
        <f t="shared" si="9"/>
        <v>0</v>
      </c>
      <c r="G27" s="848">
        <f t="shared" si="9"/>
        <v>0</v>
      </c>
      <c r="H27" s="1010"/>
      <c r="I27" s="1010"/>
      <c r="J27" s="862">
        <f>IF(D32&gt;=D33,D27,IF(E32&gt;=D33,E27,F27))</f>
        <v>0</v>
      </c>
      <c r="K27" s="909">
        <f t="shared" ref="K27:K31" si="14">K25</f>
        <v>0</v>
      </c>
      <c r="L27" s="864">
        <f t="shared" si="10"/>
        <v>0</v>
      </c>
      <c r="M27" s="896"/>
      <c r="N27" s="865">
        <f t="shared" si="12"/>
        <v>0</v>
      </c>
      <c r="O27" s="865">
        <f t="shared" si="13"/>
        <v>0</v>
      </c>
      <c r="P27" s="864">
        <f t="shared" si="11"/>
        <v>0</v>
      </c>
    </row>
    <row r="28" spans="2:16">
      <c r="B28" s="2077"/>
      <c r="C28" s="861" t="str">
        <f t="shared" si="6"/>
        <v>南</v>
      </c>
      <c r="D28" s="847">
        <f t="shared" si="9"/>
        <v>0</v>
      </c>
      <c r="E28" s="847">
        <f t="shared" si="9"/>
        <v>0</v>
      </c>
      <c r="F28" s="847">
        <f t="shared" si="9"/>
        <v>0</v>
      </c>
      <c r="G28" s="848">
        <f t="shared" si="9"/>
        <v>0</v>
      </c>
      <c r="H28" s="1010"/>
      <c r="I28" s="1010"/>
      <c r="J28" s="862">
        <f>IF(D32&gt;=D33,D28,IF(E32&gt;=D33,E28,F28))</f>
        <v>0</v>
      </c>
      <c r="K28" s="909">
        <f t="shared" si="14"/>
        <v>0</v>
      </c>
      <c r="L28" s="864">
        <f t="shared" si="10"/>
        <v>0</v>
      </c>
      <c r="M28" s="896"/>
      <c r="N28" s="865">
        <f t="shared" si="12"/>
        <v>0</v>
      </c>
      <c r="O28" s="865">
        <f t="shared" si="13"/>
        <v>0</v>
      </c>
      <c r="P28" s="864">
        <f t="shared" si="11"/>
        <v>0</v>
      </c>
    </row>
    <row r="29" spans="2:16">
      <c r="B29" s="2077"/>
      <c r="C29" s="861" t="str">
        <f t="shared" si="6"/>
        <v>南西</v>
      </c>
      <c r="D29" s="847">
        <f t="shared" si="9"/>
        <v>0</v>
      </c>
      <c r="E29" s="847">
        <f t="shared" si="9"/>
        <v>0</v>
      </c>
      <c r="F29" s="847">
        <f t="shared" si="9"/>
        <v>0</v>
      </c>
      <c r="G29" s="848">
        <f t="shared" si="9"/>
        <v>0</v>
      </c>
      <c r="H29" s="1010"/>
      <c r="I29" s="1010"/>
      <c r="J29" s="862">
        <f>IF(D32&gt;=D33,D29,IF(E32&gt;=D33,E29,F29))</f>
        <v>0</v>
      </c>
      <c r="K29" s="909">
        <f t="shared" si="14"/>
        <v>0</v>
      </c>
      <c r="L29" s="864">
        <f t="shared" si="10"/>
        <v>0</v>
      </c>
      <c r="M29" s="896"/>
      <c r="N29" s="865">
        <f t="shared" si="12"/>
        <v>0</v>
      </c>
      <c r="O29" s="865">
        <f t="shared" si="13"/>
        <v>0</v>
      </c>
      <c r="P29" s="864">
        <f t="shared" si="11"/>
        <v>0</v>
      </c>
    </row>
    <row r="30" spans="2:16">
      <c r="B30" s="2077"/>
      <c r="C30" s="861" t="str">
        <f t="shared" si="6"/>
        <v>西</v>
      </c>
      <c r="D30" s="847">
        <f t="shared" si="9"/>
        <v>0</v>
      </c>
      <c r="E30" s="847">
        <f t="shared" si="9"/>
        <v>0</v>
      </c>
      <c r="F30" s="847">
        <f t="shared" si="9"/>
        <v>0</v>
      </c>
      <c r="G30" s="848">
        <f t="shared" si="9"/>
        <v>0</v>
      </c>
      <c r="H30" s="1010"/>
      <c r="I30" s="1010"/>
      <c r="J30" s="862">
        <f>IF(D32&gt;=D33,D30,IF(E32&gt;=D33,E30,F30))</f>
        <v>0</v>
      </c>
      <c r="K30" s="909">
        <f t="shared" si="14"/>
        <v>0</v>
      </c>
      <c r="L30" s="864">
        <f t="shared" si="10"/>
        <v>0</v>
      </c>
      <c r="M30" s="896"/>
      <c r="N30" s="865">
        <f t="shared" si="12"/>
        <v>0</v>
      </c>
      <c r="O30" s="865">
        <f t="shared" si="13"/>
        <v>0</v>
      </c>
      <c r="P30" s="864">
        <f t="shared" si="11"/>
        <v>0</v>
      </c>
    </row>
    <row r="31" spans="2:16" ht="13.5" thickBot="1">
      <c r="B31" s="2077"/>
      <c r="C31" s="867" t="str">
        <f t="shared" si="6"/>
        <v>北西</v>
      </c>
      <c r="D31" s="850">
        <f t="shared" si="9"/>
        <v>0</v>
      </c>
      <c r="E31" s="850">
        <f t="shared" si="9"/>
        <v>0</v>
      </c>
      <c r="F31" s="850">
        <f t="shared" si="9"/>
        <v>0</v>
      </c>
      <c r="G31" s="851">
        <f t="shared" si="9"/>
        <v>0</v>
      </c>
      <c r="H31" s="1010"/>
      <c r="I31" s="1010"/>
      <c r="J31" s="868">
        <f>IF(D32&gt;=D33,D31,IF(E32&gt;=D33,E31,F31))</f>
        <v>0</v>
      </c>
      <c r="K31" s="909">
        <f t="shared" si="14"/>
        <v>0</v>
      </c>
      <c r="L31" s="870">
        <f t="shared" si="10"/>
        <v>0</v>
      </c>
      <c r="M31" s="896"/>
      <c r="N31" s="865">
        <f t="shared" si="12"/>
        <v>0</v>
      </c>
      <c r="O31" s="865">
        <f t="shared" si="13"/>
        <v>0</v>
      </c>
      <c r="P31" s="870">
        <f t="shared" si="11"/>
        <v>0</v>
      </c>
    </row>
    <row r="32" spans="2:16" ht="13.5" thickBot="1">
      <c r="B32" s="2078"/>
      <c r="C32" s="871" t="str">
        <f t="shared" si="6"/>
        <v>合計</v>
      </c>
      <c r="D32" s="872">
        <f>SUM(D24:D31)</f>
        <v>0</v>
      </c>
      <c r="E32" s="872">
        <f t="shared" ref="E32:G32" si="15">SUM(E24:E31)</f>
        <v>0</v>
      </c>
      <c r="F32" s="872">
        <f t="shared" si="15"/>
        <v>0</v>
      </c>
      <c r="G32" s="873">
        <f t="shared" si="15"/>
        <v>0</v>
      </c>
      <c r="H32" s="1010"/>
      <c r="I32" s="1010"/>
      <c r="J32" s="874">
        <f>SUM(J24:J31)</f>
        <v>0</v>
      </c>
      <c r="K32" s="875"/>
      <c r="L32" s="876">
        <f>SUM(L24:L31)</f>
        <v>0</v>
      </c>
      <c r="M32" s="896"/>
      <c r="N32" s="874">
        <f>SUM(N24:N31)</f>
        <v>0</v>
      </c>
      <c r="O32" s="875"/>
      <c r="P32" s="876">
        <f>SUM(P24:P31)</f>
        <v>0</v>
      </c>
    </row>
    <row r="33" spans="2:30" ht="13.5" thickBot="1">
      <c r="B33" s="2079"/>
      <c r="C33" s="871" t="s">
        <v>1130</v>
      </c>
      <c r="D33" s="2081">
        <f>MAX(D32:F32)</f>
        <v>0</v>
      </c>
      <c r="E33" s="2082"/>
      <c r="F33" s="2083"/>
      <c r="G33" s="873">
        <f>G32</f>
        <v>0</v>
      </c>
      <c r="H33" s="894"/>
      <c r="I33" s="894"/>
      <c r="J33" s="894"/>
      <c r="K33" s="894"/>
      <c r="L33" s="894"/>
      <c r="M33" s="896"/>
      <c r="N33" s="896"/>
      <c r="O33" s="896"/>
      <c r="P33" s="897"/>
    </row>
    <row r="34" spans="2:30" s="897" customFormat="1">
      <c r="B34" s="893"/>
      <c r="C34" s="894"/>
      <c r="D34" s="895"/>
      <c r="E34" s="894"/>
      <c r="F34" s="894"/>
      <c r="G34" s="895"/>
      <c r="H34" s="894"/>
      <c r="I34" s="894"/>
      <c r="J34" s="894"/>
      <c r="K34" s="894"/>
      <c r="L34" s="894"/>
      <c r="M34" s="896"/>
      <c r="N34" s="896"/>
      <c r="O34" s="896"/>
    </row>
    <row r="35" spans="2:30" s="897" customFormat="1">
      <c r="B35" s="893"/>
      <c r="C35" s="894"/>
      <c r="D35" s="895"/>
      <c r="E35" s="894"/>
      <c r="F35" s="894"/>
      <c r="G35" s="895"/>
      <c r="H35" s="894"/>
      <c r="I35" s="894"/>
      <c r="J35" s="894"/>
      <c r="K35" s="894"/>
      <c r="L35" s="894"/>
      <c r="M35" s="896"/>
      <c r="N35" s="896"/>
      <c r="O35" s="896"/>
    </row>
    <row r="36" spans="2:30" s="897" customFormat="1">
      <c r="B36" s="893"/>
      <c r="C36" s="894"/>
      <c r="D36" s="895"/>
      <c r="E36" s="894"/>
      <c r="F36" s="894"/>
      <c r="G36" s="895"/>
      <c r="H36" s="894"/>
      <c r="I36" s="894"/>
      <c r="J36" s="894"/>
      <c r="K36" s="894"/>
      <c r="L36" s="894"/>
      <c r="M36" s="896"/>
      <c r="N36" s="896"/>
      <c r="O36" s="896"/>
    </row>
    <row r="37" spans="2:30" s="897" customFormat="1">
      <c r="B37" s="893"/>
      <c r="C37" s="894"/>
      <c r="D37" s="895"/>
      <c r="E37" s="894"/>
      <c r="F37" s="894"/>
      <c r="G37" s="895"/>
      <c r="H37" s="894"/>
      <c r="I37" s="894"/>
      <c r="J37" s="894"/>
      <c r="K37" s="894"/>
      <c r="L37" s="894"/>
      <c r="M37" s="896"/>
      <c r="N37" s="896"/>
      <c r="O37" s="896"/>
    </row>
    <row r="38" spans="2:30" s="897" customFormat="1">
      <c r="B38" s="893"/>
      <c r="C38" s="894"/>
      <c r="D38" s="895"/>
      <c r="E38" s="894"/>
      <c r="F38" s="894"/>
      <c r="G38" s="895"/>
      <c r="H38" s="894"/>
      <c r="I38" s="894"/>
      <c r="J38" s="894"/>
      <c r="K38" s="894"/>
      <c r="L38" s="894"/>
      <c r="M38" s="896"/>
      <c r="N38" s="896"/>
      <c r="O38" s="896"/>
    </row>
    <row r="39" spans="2:30" s="897" customFormat="1">
      <c r="B39" s="893"/>
      <c r="C39" s="894"/>
      <c r="D39" s="895"/>
      <c r="E39" s="894"/>
      <c r="F39" s="894"/>
      <c r="G39" s="895"/>
      <c r="H39" s="894"/>
      <c r="I39" s="894"/>
      <c r="J39" s="894"/>
      <c r="K39" s="894"/>
      <c r="L39" s="894"/>
      <c r="M39" s="896"/>
      <c r="N39" s="896"/>
      <c r="O39" s="896"/>
    </row>
    <row r="40" spans="2:30" s="897" customFormat="1">
      <c r="B40" s="893"/>
      <c r="C40" s="894"/>
      <c r="D40" s="895"/>
      <c r="E40" s="894"/>
      <c r="F40" s="894"/>
      <c r="G40" s="895"/>
      <c r="H40" s="894"/>
      <c r="I40" s="894"/>
      <c r="J40" s="894"/>
      <c r="K40" s="894"/>
      <c r="L40" s="894"/>
      <c r="M40" s="896"/>
      <c r="N40" s="896"/>
      <c r="O40" s="896"/>
    </row>
    <row r="41" spans="2:30" s="897" customFormat="1">
      <c r="B41" s="893"/>
      <c r="C41" s="894"/>
      <c r="D41" s="895"/>
      <c r="E41" s="894"/>
      <c r="F41" s="894"/>
      <c r="G41" s="895"/>
      <c r="H41" s="894"/>
      <c r="I41" s="894"/>
      <c r="J41" s="894"/>
      <c r="K41" s="894"/>
      <c r="L41" s="894"/>
      <c r="M41" s="896"/>
      <c r="N41" s="896"/>
      <c r="O41" s="896"/>
    </row>
    <row r="42" spans="2:30" s="897" customFormat="1">
      <c r="B42" s="893"/>
      <c r="C42" s="894"/>
      <c r="D42" s="895"/>
      <c r="E42" s="894"/>
      <c r="F42" s="894"/>
      <c r="G42" s="895"/>
      <c r="H42" s="894"/>
      <c r="I42" s="894"/>
      <c r="J42" s="894"/>
      <c r="K42" s="894"/>
      <c r="L42" s="894"/>
      <c r="M42" s="896"/>
      <c r="N42" s="896"/>
      <c r="O42" s="896"/>
    </row>
    <row r="43" spans="2:30" s="897" customFormat="1">
      <c r="B43" s="893"/>
      <c r="C43" s="894"/>
      <c r="D43" s="895"/>
      <c r="E43" s="894"/>
      <c r="F43" s="894"/>
      <c r="G43" s="895"/>
      <c r="H43" s="894"/>
      <c r="I43" s="894"/>
      <c r="J43" s="894"/>
      <c r="K43" s="894"/>
      <c r="L43" s="894"/>
      <c r="M43" s="896"/>
      <c r="N43" s="896"/>
      <c r="O43" s="896"/>
    </row>
    <row r="44" spans="2:30" s="897" customFormat="1">
      <c r="B44" s="893"/>
      <c r="C44" s="894"/>
      <c r="D44" s="895"/>
      <c r="E44" s="894"/>
      <c r="F44" s="894"/>
      <c r="G44" s="895"/>
      <c r="H44" s="894"/>
      <c r="I44" s="894"/>
      <c r="J44" s="894"/>
      <c r="K44" s="894"/>
      <c r="L44" s="894"/>
      <c r="M44" s="896"/>
      <c r="N44" s="896"/>
      <c r="O44" s="896"/>
    </row>
    <row r="45" spans="2:30">
      <c r="B45" s="1129" t="s">
        <v>183</v>
      </c>
      <c r="C45" s="1129"/>
      <c r="D45" s="1129"/>
      <c r="E45" s="1129"/>
      <c r="F45" s="1129"/>
      <c r="G45" s="1129"/>
      <c r="H45" s="1129"/>
      <c r="I45" s="1129"/>
      <c r="J45" s="1129"/>
      <c r="K45" s="1129"/>
      <c r="L45" s="1129"/>
      <c r="M45" s="1129"/>
      <c r="N45" s="1129"/>
      <c r="O45" s="1129"/>
    </row>
    <row r="46" spans="2:30" ht="36">
      <c r="B46" s="801" t="s">
        <v>0</v>
      </c>
      <c r="C46" s="814" t="s">
        <v>1117</v>
      </c>
      <c r="D46" s="814" t="s">
        <v>1118</v>
      </c>
      <c r="E46" s="814" t="s">
        <v>1116</v>
      </c>
      <c r="F46" s="20" t="s">
        <v>42</v>
      </c>
      <c r="G46" s="20" t="s">
        <v>43</v>
      </c>
      <c r="H46" s="18" t="s">
        <v>35</v>
      </c>
      <c r="I46" s="18" t="s">
        <v>36</v>
      </c>
      <c r="J46" s="20" t="s">
        <v>2</v>
      </c>
      <c r="K46" s="20" t="s">
        <v>3</v>
      </c>
      <c r="L46" s="20" t="s">
        <v>39</v>
      </c>
      <c r="M46" s="20" t="s">
        <v>38</v>
      </c>
      <c r="N46" s="20" t="s">
        <v>37</v>
      </c>
      <c r="O46" s="20" t="s">
        <v>44</v>
      </c>
      <c r="Q46" s="801" t="s">
        <v>0</v>
      </c>
      <c r="R46" s="1014" t="s">
        <v>1391</v>
      </c>
      <c r="S46" s="1014" t="s">
        <v>1392</v>
      </c>
      <c r="T46" s="1014" t="s">
        <v>1116</v>
      </c>
      <c r="U46" s="20" t="s">
        <v>42</v>
      </c>
      <c r="V46" s="20" t="s">
        <v>43</v>
      </c>
      <c r="W46" s="18" t="s">
        <v>35</v>
      </c>
      <c r="X46" s="18" t="s">
        <v>36</v>
      </c>
      <c r="Y46" s="20" t="s">
        <v>2</v>
      </c>
      <c r="Z46" s="20" t="s">
        <v>3</v>
      </c>
      <c r="AA46" s="20" t="s">
        <v>39</v>
      </c>
      <c r="AB46" s="20" t="s">
        <v>38</v>
      </c>
      <c r="AC46" s="20" t="s">
        <v>37</v>
      </c>
      <c r="AD46" s="20" t="s">
        <v>44</v>
      </c>
    </row>
    <row r="47" spans="2:30" ht="36">
      <c r="B47" s="801" t="s">
        <v>14</v>
      </c>
      <c r="C47" s="20" t="s">
        <v>16</v>
      </c>
      <c r="D47" s="20" t="s">
        <v>17</v>
      </c>
      <c r="E47" s="704" t="s">
        <v>18</v>
      </c>
      <c r="F47" s="20" t="s">
        <v>19</v>
      </c>
      <c r="G47" s="20" t="s">
        <v>20</v>
      </c>
      <c r="H47" s="20" t="s">
        <v>30</v>
      </c>
      <c r="I47" s="20" t="s">
        <v>29</v>
      </c>
      <c r="J47" s="20" t="s">
        <v>21</v>
      </c>
      <c r="K47" s="20" t="s">
        <v>22</v>
      </c>
      <c r="L47" s="20" t="s">
        <v>608</v>
      </c>
      <c r="M47" s="20" t="s">
        <v>607</v>
      </c>
      <c r="N47" s="802" t="s">
        <v>25</v>
      </c>
      <c r="O47" s="20" t="s">
        <v>32</v>
      </c>
      <c r="Q47" s="801" t="s">
        <v>14</v>
      </c>
      <c r="R47" s="20" t="s">
        <v>16</v>
      </c>
      <c r="S47" s="20" t="s">
        <v>17</v>
      </c>
      <c r="T47" s="20" t="s">
        <v>18</v>
      </c>
      <c r="U47" s="20" t="s">
        <v>19</v>
      </c>
      <c r="V47" s="20" t="s">
        <v>20</v>
      </c>
      <c r="W47" s="20" t="s">
        <v>30</v>
      </c>
      <c r="X47" s="20" t="s">
        <v>29</v>
      </c>
      <c r="Y47" s="20" t="s">
        <v>21</v>
      </c>
      <c r="Z47" s="20" t="s">
        <v>22</v>
      </c>
      <c r="AA47" s="20" t="s">
        <v>608</v>
      </c>
      <c r="AB47" s="20" t="s">
        <v>607</v>
      </c>
      <c r="AC47" s="802" t="s">
        <v>25</v>
      </c>
      <c r="AD47" s="20" t="s">
        <v>32</v>
      </c>
    </row>
    <row r="48" spans="2:30">
      <c r="B48" s="798" t="s">
        <v>15</v>
      </c>
      <c r="C48" s="835" t="s">
        <v>1115</v>
      </c>
      <c r="D48" s="835" t="s">
        <v>1115</v>
      </c>
      <c r="E48" s="835" t="s">
        <v>172</v>
      </c>
      <c r="F48" s="5" t="s">
        <v>10</v>
      </c>
      <c r="G48" s="5" t="s">
        <v>10</v>
      </c>
      <c r="H48" s="5" t="s">
        <v>27</v>
      </c>
      <c r="I48" s="5" t="s">
        <v>27</v>
      </c>
      <c r="J48" s="5" t="s">
        <v>10</v>
      </c>
      <c r="K48" s="5" t="s">
        <v>10</v>
      </c>
      <c r="L48" s="5" t="s">
        <v>27</v>
      </c>
      <c r="M48" s="5" t="s">
        <v>27</v>
      </c>
      <c r="N48" s="5" t="s">
        <v>27</v>
      </c>
      <c r="O48" s="798" t="s">
        <v>31</v>
      </c>
      <c r="Q48" s="798" t="s">
        <v>15</v>
      </c>
      <c r="R48" s="835" t="s">
        <v>1115</v>
      </c>
      <c r="S48" s="835" t="s">
        <v>1115</v>
      </c>
      <c r="T48" s="835" t="s">
        <v>172</v>
      </c>
      <c r="U48" s="5" t="s">
        <v>10</v>
      </c>
      <c r="V48" s="5" t="s">
        <v>10</v>
      </c>
      <c r="W48" s="5" t="s">
        <v>27</v>
      </c>
      <c r="X48" s="5" t="s">
        <v>27</v>
      </c>
      <c r="Y48" s="5" t="s">
        <v>10</v>
      </c>
      <c r="Z48" s="5" t="s">
        <v>10</v>
      </c>
      <c r="AA48" s="5" t="s">
        <v>27</v>
      </c>
      <c r="AB48" s="5" t="s">
        <v>27</v>
      </c>
      <c r="AC48" s="5" t="s">
        <v>27</v>
      </c>
      <c r="AD48" s="798" t="s">
        <v>31</v>
      </c>
    </row>
    <row r="49" spans="2:30">
      <c r="B49" s="798">
        <v>1</v>
      </c>
      <c r="C49" s="3"/>
      <c r="D49" s="836">
        <f>P32</f>
        <v>0</v>
      </c>
      <c r="E49" s="837">
        <f>温度条件他根拠!E21</f>
        <v>0</v>
      </c>
      <c r="F49" s="838">
        <v>0</v>
      </c>
      <c r="G49" s="839">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798">
        <v>1</v>
      </c>
      <c r="R49" s="3"/>
      <c r="S49" s="836">
        <f>P14</f>
        <v>0</v>
      </c>
      <c r="T49" s="837">
        <f>温度条件他根拠!E21</f>
        <v>0</v>
      </c>
      <c r="U49" s="838">
        <f>F49</f>
        <v>0</v>
      </c>
      <c r="V49" s="1001">
        <f>G49</f>
        <v>0.8</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798">
        <v>2</v>
      </c>
      <c r="C50" s="3"/>
      <c r="D50" s="3"/>
      <c r="E50" s="838">
        <f>E49</f>
        <v>0</v>
      </c>
      <c r="F50" s="838">
        <v>0</v>
      </c>
      <c r="G50" s="839">
        <f>0.8*(温度条件他根拠!$F$10--3.3)/(温度条件他根拠!$F$10-温度条件他根拠!$F$8)</f>
        <v>0.77024793388429758</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798">
        <v>2</v>
      </c>
      <c r="R50" s="3"/>
      <c r="S50" s="3"/>
      <c r="T50" s="838">
        <f>T49</f>
        <v>0</v>
      </c>
      <c r="U50" s="838">
        <f t="shared" ref="U50:V60" si="24">F50</f>
        <v>0</v>
      </c>
      <c r="V50" s="1001">
        <f t="shared" si="24"/>
        <v>0.77024793388429758</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798">
        <v>3</v>
      </c>
      <c r="C51" s="3"/>
      <c r="D51" s="3"/>
      <c r="E51" s="838">
        <f t="shared" ref="E51:E60" si="27">E50</f>
        <v>0</v>
      </c>
      <c r="F51" s="838">
        <v>0</v>
      </c>
      <c r="G51" s="839">
        <f>0.8*(温度条件他根拠!$F$10-0.2)/(温度条件他根拠!$F$10-温度条件他根拠!$F$8)</f>
        <v>0.65454545454545465</v>
      </c>
      <c r="H51" s="7">
        <f t="shared" si="20"/>
        <v>0</v>
      </c>
      <c r="I51" s="7">
        <f t="shared" si="21"/>
        <v>0</v>
      </c>
      <c r="J51" s="2">
        <f t="shared" ref="J51:K60" si="28">J50</f>
        <v>3.55</v>
      </c>
      <c r="K51" s="6">
        <f t="shared" si="28"/>
        <v>3.95</v>
      </c>
      <c r="L51" s="7">
        <f t="shared" si="16"/>
        <v>0</v>
      </c>
      <c r="M51" s="7">
        <f t="shared" si="16"/>
        <v>0</v>
      </c>
      <c r="N51" s="13">
        <f t="shared" si="22"/>
        <v>0</v>
      </c>
      <c r="O51" s="12">
        <f t="shared" si="23"/>
        <v>0</v>
      </c>
      <c r="Q51" s="798">
        <v>3</v>
      </c>
      <c r="R51" s="3"/>
      <c r="S51" s="3"/>
      <c r="T51" s="838">
        <f t="shared" ref="T51:T60" si="29">T50</f>
        <v>0</v>
      </c>
      <c r="U51" s="838">
        <f t="shared" si="24"/>
        <v>0</v>
      </c>
      <c r="V51" s="1001">
        <f t="shared" si="24"/>
        <v>0.65454545454545465</v>
      </c>
      <c r="W51" s="7">
        <f t="shared" si="17"/>
        <v>0</v>
      </c>
      <c r="X51" s="7">
        <f t="shared" si="18"/>
        <v>0</v>
      </c>
      <c r="Y51" s="2">
        <f t="shared" ref="Y51:Z60" si="30">Y50</f>
        <v>3.55</v>
      </c>
      <c r="Z51" s="6">
        <f t="shared" si="30"/>
        <v>3.95</v>
      </c>
      <c r="AA51" s="7">
        <f t="shared" si="19"/>
        <v>0</v>
      </c>
      <c r="AB51" s="7">
        <f t="shared" si="19"/>
        <v>0</v>
      </c>
      <c r="AC51" s="13">
        <f t="shared" si="25"/>
        <v>0</v>
      </c>
      <c r="AD51" s="12">
        <f t="shared" si="26"/>
        <v>0</v>
      </c>
    </row>
    <row r="52" spans="2:30">
      <c r="B52" s="798">
        <v>4</v>
      </c>
      <c r="C52" s="3"/>
      <c r="D52" s="3"/>
      <c r="E52" s="838">
        <f t="shared" si="27"/>
        <v>0</v>
      </c>
      <c r="F52" s="838">
        <v>0</v>
      </c>
      <c r="G52" s="839">
        <f>0.8*(温度条件他根拠!$F$10-5.8)/(温度条件他根拠!$F$10-温度条件他根拠!$F$8)</f>
        <v>0.46942148760330576</v>
      </c>
      <c r="H52" s="7">
        <f t="shared" si="20"/>
        <v>0</v>
      </c>
      <c r="I52" s="7">
        <f t="shared" si="21"/>
        <v>0</v>
      </c>
      <c r="J52" s="2">
        <f t="shared" si="28"/>
        <v>3.55</v>
      </c>
      <c r="K52" s="6">
        <f t="shared" si="28"/>
        <v>3.95</v>
      </c>
      <c r="L52" s="7">
        <f t="shared" si="16"/>
        <v>0</v>
      </c>
      <c r="M52" s="7">
        <f t="shared" si="16"/>
        <v>0</v>
      </c>
      <c r="N52" s="13">
        <f t="shared" si="22"/>
        <v>0</v>
      </c>
      <c r="O52" s="12">
        <f t="shared" si="23"/>
        <v>0</v>
      </c>
      <c r="Q52" s="798">
        <v>4</v>
      </c>
      <c r="R52" s="3"/>
      <c r="S52" s="3"/>
      <c r="T52" s="838">
        <f t="shared" si="29"/>
        <v>0</v>
      </c>
      <c r="U52" s="838">
        <f t="shared" si="24"/>
        <v>0</v>
      </c>
      <c r="V52" s="1001">
        <f t="shared" si="24"/>
        <v>0.46942148760330576</v>
      </c>
      <c r="W52" s="7">
        <f t="shared" si="17"/>
        <v>0</v>
      </c>
      <c r="X52" s="7">
        <f t="shared" si="18"/>
        <v>0</v>
      </c>
      <c r="Y52" s="2">
        <f t="shared" si="30"/>
        <v>3.55</v>
      </c>
      <c r="Z52" s="6">
        <f t="shared" si="30"/>
        <v>3.95</v>
      </c>
      <c r="AA52" s="7">
        <f t="shared" si="19"/>
        <v>0</v>
      </c>
      <c r="AB52" s="7">
        <f t="shared" si="19"/>
        <v>0</v>
      </c>
      <c r="AC52" s="13">
        <f t="shared" si="25"/>
        <v>0</v>
      </c>
      <c r="AD52" s="12">
        <f t="shared" si="26"/>
        <v>0</v>
      </c>
    </row>
    <row r="53" spans="2:30">
      <c r="B53" s="798">
        <v>5</v>
      </c>
      <c r="C53" s="3"/>
      <c r="D53" s="3"/>
      <c r="E53" s="838">
        <f t="shared" si="27"/>
        <v>0</v>
      </c>
      <c r="F53" s="839">
        <f>0.175*(温度条件他根拠!$F$7-温度条件他根拠!$F$9)/(温度条件他根拠!$F$7-23.1)</f>
        <v>6.2171052631578946E-2</v>
      </c>
      <c r="G53" s="839">
        <f>0.2*(温度条件他根拠!$F$10-11.2)/(温度条件他根拠!$F$10-温度条件他根拠!$F$8)</f>
        <v>7.2727272727272738E-2</v>
      </c>
      <c r="H53" s="836">
        <f>$C$56*E53*F53/1000</f>
        <v>0</v>
      </c>
      <c r="I53" s="836">
        <f>G53*E53*$D$49/1000</f>
        <v>0</v>
      </c>
      <c r="J53" s="2">
        <f t="shared" si="28"/>
        <v>3.55</v>
      </c>
      <c r="K53" s="6">
        <f t="shared" si="28"/>
        <v>3.95</v>
      </c>
      <c r="L53" s="7">
        <f t="shared" si="16"/>
        <v>0</v>
      </c>
      <c r="M53" s="7">
        <f t="shared" si="16"/>
        <v>0</v>
      </c>
      <c r="N53" s="13">
        <f t="shared" si="22"/>
        <v>0</v>
      </c>
      <c r="O53" s="12">
        <f t="shared" si="23"/>
        <v>0</v>
      </c>
      <c r="Q53" s="798">
        <v>5</v>
      </c>
      <c r="R53" s="3"/>
      <c r="S53" s="3"/>
      <c r="T53" s="838">
        <f t="shared" si="29"/>
        <v>0</v>
      </c>
      <c r="U53" s="1001">
        <f t="shared" si="24"/>
        <v>6.2171052631578946E-2</v>
      </c>
      <c r="V53" s="1001">
        <f t="shared" si="24"/>
        <v>7.2727272727272738E-2</v>
      </c>
      <c r="W53" s="836">
        <f t="shared" si="17"/>
        <v>0</v>
      </c>
      <c r="X53" s="836">
        <f t="shared" si="18"/>
        <v>0</v>
      </c>
      <c r="Y53" s="2">
        <f t="shared" si="30"/>
        <v>3.55</v>
      </c>
      <c r="Z53" s="6">
        <f t="shared" si="30"/>
        <v>3.95</v>
      </c>
      <c r="AA53" s="7">
        <f t="shared" si="19"/>
        <v>0</v>
      </c>
      <c r="AB53" s="7">
        <f t="shared" si="19"/>
        <v>0</v>
      </c>
      <c r="AC53" s="13">
        <f t="shared" si="25"/>
        <v>0</v>
      </c>
      <c r="AD53" s="12">
        <f t="shared" si="26"/>
        <v>0</v>
      </c>
    </row>
    <row r="54" spans="2:30">
      <c r="B54" s="798">
        <v>6</v>
      </c>
      <c r="C54" s="3"/>
      <c r="D54" s="3"/>
      <c r="E54" s="838">
        <f t="shared" si="27"/>
        <v>0</v>
      </c>
      <c r="F54" s="839">
        <f>0.7*(温度条件他根拠!$F$7-温度条件他根拠!$F$9)/(温度条件他根拠!$F$7-25.5)</f>
        <v>0.36346153846153839</v>
      </c>
      <c r="G54" s="838">
        <v>0</v>
      </c>
      <c r="H54" s="7">
        <f t="shared" si="20"/>
        <v>0</v>
      </c>
      <c r="I54" s="7">
        <f t="shared" si="21"/>
        <v>0</v>
      </c>
      <c r="J54" s="2">
        <f t="shared" si="28"/>
        <v>3.55</v>
      </c>
      <c r="K54" s="6">
        <f t="shared" si="28"/>
        <v>3.95</v>
      </c>
      <c r="L54" s="7">
        <f t="shared" si="16"/>
        <v>0</v>
      </c>
      <c r="M54" s="7">
        <f t="shared" si="16"/>
        <v>0</v>
      </c>
      <c r="N54" s="13">
        <f t="shared" si="22"/>
        <v>0</v>
      </c>
      <c r="O54" s="12">
        <f t="shared" si="23"/>
        <v>0</v>
      </c>
      <c r="Q54" s="798">
        <v>6</v>
      </c>
      <c r="R54" s="3"/>
      <c r="S54" s="3"/>
      <c r="T54" s="838">
        <f t="shared" si="29"/>
        <v>0</v>
      </c>
      <c r="U54" s="1001">
        <f t="shared" si="24"/>
        <v>0.36346153846153839</v>
      </c>
      <c r="V54" s="838">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798">
        <v>7</v>
      </c>
      <c r="C55" s="3"/>
      <c r="D55" s="3"/>
      <c r="E55" s="838">
        <f t="shared" si="27"/>
        <v>0</v>
      </c>
      <c r="F55" s="839">
        <f>0.7*(温度条件他根拠!$F$7-温度条件他根拠!$F$9)/(温度条件他根拠!$F$7-28)</f>
        <v>0.7</v>
      </c>
      <c r="G55" s="838">
        <v>0</v>
      </c>
      <c r="H55" s="7">
        <f t="shared" si="20"/>
        <v>0</v>
      </c>
      <c r="I55" s="7">
        <f t="shared" si="21"/>
        <v>0</v>
      </c>
      <c r="J55" s="2">
        <f t="shared" si="28"/>
        <v>3.55</v>
      </c>
      <c r="K55" s="6">
        <f t="shared" si="28"/>
        <v>3.95</v>
      </c>
      <c r="L55" s="7">
        <f t="shared" si="16"/>
        <v>0</v>
      </c>
      <c r="M55" s="7">
        <f t="shared" si="16"/>
        <v>0</v>
      </c>
      <c r="N55" s="13">
        <f t="shared" si="22"/>
        <v>0</v>
      </c>
      <c r="O55" s="12">
        <f t="shared" si="23"/>
        <v>0</v>
      </c>
      <c r="Q55" s="798">
        <v>7</v>
      </c>
      <c r="R55" s="3"/>
      <c r="S55" s="3"/>
      <c r="T55" s="838">
        <f t="shared" si="29"/>
        <v>0</v>
      </c>
      <c r="U55" s="1001">
        <f t="shared" si="24"/>
        <v>0.7</v>
      </c>
      <c r="V55" s="838">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798">
        <v>8</v>
      </c>
      <c r="C56" s="836">
        <f>L32</f>
        <v>0</v>
      </c>
      <c r="D56" s="3"/>
      <c r="E56" s="838">
        <f t="shared" si="27"/>
        <v>0</v>
      </c>
      <c r="F56" s="839">
        <f>0.7*(温度条件他根拠!$F$7-温度条件他根拠!$F$9)/(温度条件他根拠!$F$7-28)</f>
        <v>0.7</v>
      </c>
      <c r="G56" s="838">
        <v>0</v>
      </c>
      <c r="H56" s="7">
        <f t="shared" si="20"/>
        <v>0</v>
      </c>
      <c r="I56" s="7">
        <f t="shared" si="21"/>
        <v>0</v>
      </c>
      <c r="J56" s="2">
        <f t="shared" si="28"/>
        <v>3.55</v>
      </c>
      <c r="K56" s="6">
        <f t="shared" si="28"/>
        <v>3.95</v>
      </c>
      <c r="L56" s="7">
        <f t="shared" si="16"/>
        <v>0</v>
      </c>
      <c r="M56" s="7">
        <f t="shared" si="16"/>
        <v>0</v>
      </c>
      <c r="N56" s="13">
        <f t="shared" si="22"/>
        <v>0</v>
      </c>
      <c r="O56" s="12">
        <f t="shared" si="23"/>
        <v>0</v>
      </c>
      <c r="Q56" s="798">
        <v>8</v>
      </c>
      <c r="R56" s="836">
        <f>L14</f>
        <v>0</v>
      </c>
      <c r="S56" s="3"/>
      <c r="T56" s="838">
        <f t="shared" si="29"/>
        <v>0</v>
      </c>
      <c r="U56" s="1001">
        <f t="shared" si="24"/>
        <v>0.7</v>
      </c>
      <c r="V56" s="838">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798">
        <v>9</v>
      </c>
      <c r="C57" s="3"/>
      <c r="D57" s="3"/>
      <c r="E57" s="838">
        <f t="shared" si="27"/>
        <v>0</v>
      </c>
      <c r="F57" s="839">
        <f>0.7*(温度条件他根拠!$F$7-温度条件他根拠!$F$9)/(温度条件他根拠!$F$7-25.9)</f>
        <v>0.39374999999999982</v>
      </c>
      <c r="G57" s="838">
        <v>0</v>
      </c>
      <c r="H57" s="7">
        <f t="shared" si="20"/>
        <v>0</v>
      </c>
      <c r="I57" s="7">
        <f t="shared" si="21"/>
        <v>0</v>
      </c>
      <c r="J57" s="2">
        <f t="shared" si="28"/>
        <v>3.55</v>
      </c>
      <c r="K57" s="6">
        <f t="shared" si="28"/>
        <v>3.95</v>
      </c>
      <c r="L57" s="7">
        <f t="shared" si="16"/>
        <v>0</v>
      </c>
      <c r="M57" s="7">
        <f t="shared" si="16"/>
        <v>0</v>
      </c>
      <c r="N57" s="13">
        <f t="shared" si="22"/>
        <v>0</v>
      </c>
      <c r="O57" s="12">
        <f t="shared" si="23"/>
        <v>0</v>
      </c>
      <c r="Q57" s="798">
        <v>9</v>
      </c>
      <c r="R57" s="3"/>
      <c r="S57" s="3"/>
      <c r="T57" s="838">
        <f t="shared" si="29"/>
        <v>0</v>
      </c>
      <c r="U57" s="1001">
        <f t="shared" si="24"/>
        <v>0.39374999999999982</v>
      </c>
      <c r="V57" s="838">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798">
        <v>10</v>
      </c>
      <c r="C58" s="3"/>
      <c r="D58" s="3"/>
      <c r="E58" s="838">
        <f t="shared" si="27"/>
        <v>0</v>
      </c>
      <c r="F58" s="839">
        <f>0.175*(温度条件他根拠!$F$7-温度条件他根拠!$F$9)/(温度条件他根拠!$F$7-20.5)</f>
        <v>4.6323529411764694E-2</v>
      </c>
      <c r="G58" s="839">
        <f>0.2*(温度条件他根拠!$F$10-10.5)/(温度条件他根拠!$F$10-温度条件他根拠!$F$8)</f>
        <v>7.8512396694214878E-2</v>
      </c>
      <c r="H58" s="836">
        <f>$C$56*E58*F58/1000</f>
        <v>0</v>
      </c>
      <c r="I58" s="836">
        <f>G58*E58*$D$49/1000</f>
        <v>0</v>
      </c>
      <c r="J58" s="2">
        <f t="shared" si="28"/>
        <v>3.55</v>
      </c>
      <c r="K58" s="6">
        <f t="shared" si="28"/>
        <v>3.95</v>
      </c>
      <c r="L58" s="7">
        <f t="shared" si="16"/>
        <v>0</v>
      </c>
      <c r="M58" s="7">
        <f t="shared" si="16"/>
        <v>0</v>
      </c>
      <c r="N58" s="13">
        <f t="shared" si="22"/>
        <v>0</v>
      </c>
      <c r="O58" s="12">
        <f t="shared" si="23"/>
        <v>0</v>
      </c>
      <c r="Q58" s="798">
        <v>10</v>
      </c>
      <c r="R58" s="3"/>
      <c r="S58" s="3"/>
      <c r="T58" s="838">
        <f t="shared" si="29"/>
        <v>0</v>
      </c>
      <c r="U58" s="1001">
        <f t="shared" si="24"/>
        <v>4.6323529411764694E-2</v>
      </c>
      <c r="V58" s="1001">
        <f t="shared" si="24"/>
        <v>7.8512396694214878E-2</v>
      </c>
      <c r="W58" s="836">
        <f>($R$56*T58*U58/1000)</f>
        <v>0</v>
      </c>
      <c r="X58" s="836">
        <f>(V58*T58*$S$49/1000)</f>
        <v>0</v>
      </c>
      <c r="Y58" s="2">
        <f t="shared" si="30"/>
        <v>3.55</v>
      </c>
      <c r="Z58" s="6">
        <f t="shared" si="30"/>
        <v>3.95</v>
      </c>
      <c r="AA58" s="7">
        <f t="shared" si="19"/>
        <v>0</v>
      </c>
      <c r="AB58" s="7">
        <f t="shared" si="19"/>
        <v>0</v>
      </c>
      <c r="AC58" s="13">
        <f t="shared" si="25"/>
        <v>0</v>
      </c>
      <c r="AD58" s="12">
        <f t="shared" si="26"/>
        <v>0</v>
      </c>
    </row>
    <row r="59" spans="2:30">
      <c r="B59" s="798">
        <v>11</v>
      </c>
      <c r="C59" s="3"/>
      <c r="D59" s="3"/>
      <c r="E59" s="838">
        <f t="shared" si="27"/>
        <v>0</v>
      </c>
      <c r="F59" s="838">
        <v>0</v>
      </c>
      <c r="G59" s="839">
        <f>0.8*(温度条件他根拠!$F$10-3.5)/(温度条件他根拠!$F$10-温度条件他根拠!$F$8)</f>
        <v>0.54545454545454553</v>
      </c>
      <c r="H59" s="7">
        <f t="shared" si="20"/>
        <v>0</v>
      </c>
      <c r="I59" s="7">
        <f t="shared" si="21"/>
        <v>0</v>
      </c>
      <c r="J59" s="2">
        <f t="shared" si="28"/>
        <v>3.55</v>
      </c>
      <c r="K59" s="6">
        <f t="shared" si="28"/>
        <v>3.95</v>
      </c>
      <c r="L59" s="7">
        <f t="shared" si="16"/>
        <v>0</v>
      </c>
      <c r="M59" s="7">
        <f t="shared" si="16"/>
        <v>0</v>
      </c>
      <c r="N59" s="13">
        <f t="shared" si="22"/>
        <v>0</v>
      </c>
      <c r="O59" s="12">
        <f t="shared" si="23"/>
        <v>0</v>
      </c>
      <c r="Q59" s="798">
        <v>11</v>
      </c>
      <c r="R59" s="3"/>
      <c r="S59" s="3"/>
      <c r="T59" s="838">
        <f t="shared" si="29"/>
        <v>0</v>
      </c>
      <c r="U59" s="838">
        <f t="shared" si="24"/>
        <v>0</v>
      </c>
      <c r="V59" s="1001">
        <f t="shared" si="24"/>
        <v>0.54545454545454553</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798">
        <v>12</v>
      </c>
      <c r="C60" s="3"/>
      <c r="D60" s="3"/>
      <c r="E60" s="838">
        <f t="shared" si="27"/>
        <v>0</v>
      </c>
      <c r="F60" s="838">
        <v>0</v>
      </c>
      <c r="G60" s="839">
        <f>0.8*(温度条件他根拠!$F$10--0.2)/(温度条件他根拠!$F$10-温度条件他根拠!$F$8)</f>
        <v>0.66776859504132235</v>
      </c>
      <c r="H60" s="7">
        <f t="shared" si="20"/>
        <v>0</v>
      </c>
      <c r="I60" s="7">
        <f t="shared" si="21"/>
        <v>0</v>
      </c>
      <c r="J60" s="2">
        <f t="shared" si="28"/>
        <v>3.55</v>
      </c>
      <c r="K60" s="6">
        <f t="shared" si="28"/>
        <v>3.95</v>
      </c>
      <c r="L60" s="7">
        <f t="shared" si="16"/>
        <v>0</v>
      </c>
      <c r="M60" s="7">
        <f t="shared" si="16"/>
        <v>0</v>
      </c>
      <c r="N60" s="13">
        <f t="shared" si="22"/>
        <v>0</v>
      </c>
      <c r="O60" s="12">
        <f t="shared" si="23"/>
        <v>0</v>
      </c>
      <c r="Q60" s="798">
        <v>12</v>
      </c>
      <c r="R60" s="3"/>
      <c r="S60" s="3"/>
      <c r="T60" s="838">
        <f t="shared" si="29"/>
        <v>0</v>
      </c>
      <c r="U60" s="838">
        <f t="shared" si="24"/>
        <v>0</v>
      </c>
      <c r="V60" s="1001">
        <f t="shared" si="24"/>
        <v>0.66776859504132235</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1020">
        <f>T64-E64</f>
        <v>0</v>
      </c>
      <c r="AC64" s="11" t="s">
        <v>7</v>
      </c>
    </row>
    <row r="85" spans="2:3">
      <c r="B85" s="1" t="s">
        <v>1079</v>
      </c>
    </row>
    <row r="86" spans="2:3">
      <c r="B86" s="691">
        <v>43927</v>
      </c>
      <c r="C86" s="690" t="s">
        <v>866</v>
      </c>
    </row>
    <row r="87" spans="2:3">
      <c r="B87" s="691">
        <v>44634</v>
      </c>
      <c r="C87" s="690" t="s">
        <v>1119</v>
      </c>
    </row>
    <row r="88" spans="2:3">
      <c r="C88" s="690" t="s">
        <v>1120</v>
      </c>
    </row>
    <row r="89" spans="2:3">
      <c r="C89" s="1" t="s">
        <v>1121</v>
      </c>
    </row>
    <row r="90" spans="2:3">
      <c r="C90" s="1" t="s">
        <v>1133</v>
      </c>
    </row>
    <row r="91" spans="2:3">
      <c r="C91" s="1" t="s">
        <v>1134</v>
      </c>
    </row>
  </sheetData>
  <mergeCells count="21">
    <mergeCell ref="B15:B23"/>
    <mergeCell ref="B24:B33"/>
    <mergeCell ref="D33:F33"/>
    <mergeCell ref="B45:O45"/>
    <mergeCell ref="B2:O2"/>
    <mergeCell ref="B4:C5"/>
    <mergeCell ref="D4:F4"/>
    <mergeCell ref="G4:G5"/>
    <mergeCell ref="B6:B14"/>
    <mergeCell ref="J3:J5"/>
    <mergeCell ref="K3:K5"/>
    <mergeCell ref="L3:L5"/>
    <mergeCell ref="N3:N5"/>
    <mergeCell ref="O3:O5"/>
    <mergeCell ref="P3:P5"/>
    <mergeCell ref="J16:J22"/>
    <mergeCell ref="K16:K23"/>
    <mergeCell ref="L16:L23"/>
    <mergeCell ref="N16:N22"/>
    <mergeCell ref="O16:O23"/>
    <mergeCell ref="P16:P23"/>
  </mergeCells>
  <phoneticPr fontId="2"/>
  <pageMargins left="0" right="0" top="0.55118110236220474" bottom="0.15748031496062992" header="0.11811023622047245" footer="0"/>
  <pageSetup paperSize="9" orientation="landscape" r:id="rId1"/>
  <ignoredErrors>
    <ignoredError sqref="W58:X58" formula="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rgb="FF00B0F0"/>
  </sheetPr>
  <dimension ref="B1:AD92"/>
  <sheetViews>
    <sheetView topLeftCell="B1" workbookViewId="0">
      <selection activeCell="H9" sqref="H9"/>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705" t="str">
        <f ca="1">RIGHT(CELL("filename",C1),LEN(CELL("filename",C1))-FIND("]",CELL("filename",C1)))</f>
        <v>秩父市窓遮熱</v>
      </c>
      <c r="F1" s="81"/>
    </row>
    <row r="2" spans="2:16" ht="13.5" thickBot="1">
      <c r="B2" s="2080"/>
      <c r="C2" s="2080"/>
      <c r="D2" s="2080"/>
      <c r="E2" s="2080"/>
      <c r="F2" s="2080"/>
      <c r="G2" s="2080"/>
      <c r="H2" s="2080"/>
      <c r="I2" s="2080"/>
      <c r="J2" s="2080"/>
      <c r="K2" s="2080"/>
      <c r="L2" s="2080"/>
      <c r="M2" s="2080"/>
      <c r="N2" s="2080"/>
      <c r="O2" s="2080"/>
    </row>
    <row r="3" spans="2:16" ht="13.5" thickBot="1">
      <c r="B3" s="840" t="s">
        <v>1093</v>
      </c>
      <c r="C3" s="890"/>
      <c r="D3" s="841"/>
      <c r="E3" s="841"/>
      <c r="F3" s="841"/>
      <c r="G3" s="841"/>
      <c r="H3" s="1010"/>
      <c r="I3" s="1010"/>
      <c r="J3" s="2096" t="str">
        <f>J16</f>
        <v>D
時間帯合計値の最大値の方位別冷房負荷（計算採用値）</v>
      </c>
      <c r="K3" s="2099" t="str">
        <f>K16</f>
        <v>E
方位別日射時間
(h/日）</v>
      </c>
      <c r="L3" s="2102" t="str">
        <f>L16</f>
        <v>①
＝ΣD×E
方位別
日冷房
負荷
削減量
（W・h/日）</v>
      </c>
      <c r="M3" s="897"/>
      <c r="N3" s="2096" t="str">
        <f>N16</f>
        <v>F
時間帯合計値の最大値の方位別暖房負荷（計算採用値）</v>
      </c>
      <c r="O3" s="2099" t="str">
        <f>O16</f>
        <v>E
方位別日射時間
(h/日）</v>
      </c>
      <c r="P3" s="2102" t="str">
        <f>P16</f>
        <v>②
＝ΣF×E
方位別
日暖房
負荷
削減量
（W・h/日）</v>
      </c>
    </row>
    <row r="4" spans="2:16">
      <c r="B4" s="2088" t="s">
        <v>1094</v>
      </c>
      <c r="C4" s="2089"/>
      <c r="D4" s="2089" t="s">
        <v>1095</v>
      </c>
      <c r="E4" s="2089"/>
      <c r="F4" s="2089"/>
      <c r="G4" s="2092" t="s">
        <v>1122</v>
      </c>
      <c r="H4" s="894"/>
      <c r="I4" s="894"/>
      <c r="J4" s="2097"/>
      <c r="K4" s="2100"/>
      <c r="L4" s="2103"/>
      <c r="M4" s="896"/>
      <c r="N4" s="2097"/>
      <c r="O4" s="2100"/>
      <c r="P4" s="2103"/>
    </row>
    <row r="5" spans="2:16" ht="13.5" thickBot="1">
      <c r="B5" s="2090"/>
      <c r="C5" s="2091"/>
      <c r="D5" s="842" t="s">
        <v>1098</v>
      </c>
      <c r="E5" s="842" t="s">
        <v>1099</v>
      </c>
      <c r="F5" s="842" t="s">
        <v>1100</v>
      </c>
      <c r="G5" s="2093"/>
      <c r="H5" s="894"/>
      <c r="I5" s="894"/>
      <c r="J5" s="2098"/>
      <c r="K5" s="2101"/>
      <c r="L5" s="2104"/>
      <c r="M5" s="896"/>
      <c r="N5" s="2098"/>
      <c r="O5" s="2101"/>
      <c r="P5" s="2104"/>
    </row>
    <row r="6" spans="2:16">
      <c r="B6" s="2094" t="s">
        <v>1123</v>
      </c>
      <c r="C6" s="881" t="s">
        <v>1395</v>
      </c>
      <c r="D6" s="882">
        <f>結果!H54</f>
        <v>0</v>
      </c>
      <c r="E6" s="882">
        <f>結果!J54</f>
        <v>0</v>
      </c>
      <c r="F6" s="882">
        <f>結果!L54</f>
        <v>0</v>
      </c>
      <c r="G6" s="883">
        <f>結果!Q54</f>
        <v>0</v>
      </c>
      <c r="H6" s="894"/>
      <c r="I6" s="894"/>
      <c r="J6" s="857">
        <f>IF(D32&gt;=D33,D6,IF(E32&gt;=D33,E6,F6))</f>
        <v>0</v>
      </c>
      <c r="K6" s="858">
        <f>温度条件他根拠!C36</f>
        <v>0</v>
      </c>
      <c r="L6" s="859">
        <f>K6*J6</f>
        <v>0</v>
      </c>
      <c r="M6" s="896"/>
      <c r="N6" s="860">
        <v>0</v>
      </c>
      <c r="O6" s="858">
        <f>K6</f>
        <v>0</v>
      </c>
      <c r="P6" s="859">
        <f>O6*N6</f>
        <v>0</v>
      </c>
    </row>
    <row r="7" spans="2:16">
      <c r="B7" s="2077"/>
      <c r="C7" s="877" t="s">
        <v>1396</v>
      </c>
      <c r="D7" s="847">
        <f>結果!H55</f>
        <v>0</v>
      </c>
      <c r="E7" s="847">
        <f>結果!J55</f>
        <v>0</v>
      </c>
      <c r="F7" s="847">
        <f>結果!L55</f>
        <v>0</v>
      </c>
      <c r="G7" s="879">
        <f>結果!Q55</f>
        <v>0</v>
      </c>
      <c r="H7" s="894"/>
      <c r="I7" s="894"/>
      <c r="J7" s="862">
        <f>IF(D32&gt;=D33,D7,IF(E32&gt;=D33,E7,F7))</f>
        <v>0</v>
      </c>
      <c r="K7" s="863">
        <f>温度条件他根拠!D36</f>
        <v>2.5</v>
      </c>
      <c r="L7" s="864">
        <f t="shared" ref="L7:L13" si="0">K7*J7</f>
        <v>0</v>
      </c>
      <c r="M7" s="896"/>
      <c r="N7" s="865">
        <v>0</v>
      </c>
      <c r="O7" s="863">
        <f>K7</f>
        <v>2.5</v>
      </c>
      <c r="P7" s="864">
        <f t="shared" ref="P7:P13" si="1">O7*N7</f>
        <v>0</v>
      </c>
    </row>
    <row r="8" spans="2:16">
      <c r="B8" s="2077"/>
      <c r="C8" s="877" t="s">
        <v>1397</v>
      </c>
      <c r="D8" s="847">
        <f>結果!H56</f>
        <v>0</v>
      </c>
      <c r="E8" s="847">
        <f>結果!J56</f>
        <v>0</v>
      </c>
      <c r="F8" s="847">
        <f>結果!L56</f>
        <v>0</v>
      </c>
      <c r="G8" s="879">
        <f>結果!Q56</f>
        <v>0</v>
      </c>
      <c r="H8" s="894"/>
      <c r="I8" s="894"/>
      <c r="J8" s="862">
        <f>IF(D32&gt;=D33,D8,IF(E32&gt;=D33,E8,F8))</f>
        <v>0</v>
      </c>
      <c r="K8" s="863">
        <f>温度条件他根拠!E36</f>
        <v>3.5</v>
      </c>
      <c r="L8" s="864">
        <f t="shared" si="0"/>
        <v>0</v>
      </c>
      <c r="M8" s="896"/>
      <c r="N8" s="865">
        <v>0</v>
      </c>
      <c r="O8" s="863">
        <f t="shared" ref="O8:O13" si="2">K8</f>
        <v>3.5</v>
      </c>
      <c r="P8" s="864">
        <f t="shared" si="1"/>
        <v>0</v>
      </c>
    </row>
    <row r="9" spans="2:16">
      <c r="B9" s="2077"/>
      <c r="C9" s="877" t="s">
        <v>1398</v>
      </c>
      <c r="D9" s="847">
        <f>結果!H57</f>
        <v>0</v>
      </c>
      <c r="E9" s="847">
        <f>結果!J57</f>
        <v>0</v>
      </c>
      <c r="F9" s="847">
        <f>結果!L57</f>
        <v>0</v>
      </c>
      <c r="G9" s="879">
        <f>結果!Q57</f>
        <v>0</v>
      </c>
      <c r="H9" s="894"/>
      <c r="I9" s="894"/>
      <c r="J9" s="862">
        <f>IF(D32&gt;=D33,D9,IF(E32&gt;=D33,E9,F9))</f>
        <v>0</v>
      </c>
      <c r="K9" s="863">
        <f>温度条件他根拠!F36</f>
        <v>4.5</v>
      </c>
      <c r="L9" s="864">
        <f t="shared" si="0"/>
        <v>0</v>
      </c>
      <c r="M9" s="896"/>
      <c r="N9" s="865">
        <v>0</v>
      </c>
      <c r="O9" s="863">
        <f t="shared" si="2"/>
        <v>4.5</v>
      </c>
      <c r="P9" s="864">
        <f t="shared" si="1"/>
        <v>0</v>
      </c>
    </row>
    <row r="10" spans="2:16">
      <c r="B10" s="2077"/>
      <c r="C10" s="877" t="s">
        <v>1399</v>
      </c>
      <c r="D10" s="847">
        <f>結果!H58</f>
        <v>0</v>
      </c>
      <c r="E10" s="847">
        <f>結果!J58</f>
        <v>0</v>
      </c>
      <c r="F10" s="847">
        <f>結果!L58</f>
        <v>0</v>
      </c>
      <c r="G10" s="879">
        <f>結果!Q58</f>
        <v>0</v>
      </c>
      <c r="H10" s="894"/>
      <c r="I10" s="894"/>
      <c r="J10" s="862">
        <f>IF(D32&gt;=D33,D10,IF(E32&gt;=D33,E10,F10))</f>
        <v>0</v>
      </c>
      <c r="K10" s="866">
        <f>温度条件他根拠!G36</f>
        <v>5</v>
      </c>
      <c r="L10" s="864">
        <f t="shared" si="0"/>
        <v>0</v>
      </c>
      <c r="M10" s="896"/>
      <c r="N10" s="865">
        <v>0</v>
      </c>
      <c r="O10" s="866">
        <f t="shared" si="2"/>
        <v>5</v>
      </c>
      <c r="P10" s="864">
        <f t="shared" si="1"/>
        <v>0</v>
      </c>
    </row>
    <row r="11" spans="2:16">
      <c r="B11" s="2077"/>
      <c r="C11" s="877" t="s">
        <v>1400</v>
      </c>
      <c r="D11" s="847">
        <f>結果!H59</f>
        <v>0</v>
      </c>
      <c r="E11" s="847">
        <f>結果!J59</f>
        <v>0</v>
      </c>
      <c r="F11" s="847">
        <f>結果!L59</f>
        <v>0</v>
      </c>
      <c r="G11" s="879">
        <f>結果!Q59</f>
        <v>0</v>
      </c>
      <c r="H11" s="894"/>
      <c r="I11" s="894"/>
      <c r="J11" s="862">
        <f>IF(D32&gt;=D33,D11,IF(E32&gt;=D33,E11,F11))</f>
        <v>0</v>
      </c>
      <c r="K11" s="863">
        <f>温度条件他根拠!H36</f>
        <v>4.5</v>
      </c>
      <c r="L11" s="864">
        <f t="shared" si="0"/>
        <v>0</v>
      </c>
      <c r="M11" s="896"/>
      <c r="N11" s="865">
        <v>0</v>
      </c>
      <c r="O11" s="863">
        <f t="shared" si="2"/>
        <v>4.5</v>
      </c>
      <c r="P11" s="864">
        <f t="shared" si="1"/>
        <v>0</v>
      </c>
    </row>
    <row r="12" spans="2:16">
      <c r="B12" s="2077"/>
      <c r="C12" s="877" t="s">
        <v>1401</v>
      </c>
      <c r="D12" s="847">
        <f>結果!H60</f>
        <v>0</v>
      </c>
      <c r="E12" s="847">
        <f>結果!J60</f>
        <v>0</v>
      </c>
      <c r="F12" s="847">
        <f>結果!L60</f>
        <v>0</v>
      </c>
      <c r="G12" s="879">
        <f>結果!Q60</f>
        <v>0</v>
      </c>
      <c r="H12" s="894"/>
      <c r="I12" s="894"/>
      <c r="J12" s="862">
        <f>IF(D32&gt;=D33,D12,IF(E32&gt;=D33,E12,F12))</f>
        <v>0</v>
      </c>
      <c r="K12" s="863">
        <f>温度条件他根拠!I36</f>
        <v>3.5</v>
      </c>
      <c r="L12" s="864">
        <f t="shared" si="0"/>
        <v>0</v>
      </c>
      <c r="M12" s="896"/>
      <c r="N12" s="865">
        <v>0</v>
      </c>
      <c r="O12" s="863">
        <f t="shared" si="2"/>
        <v>3.5</v>
      </c>
      <c r="P12" s="864">
        <f t="shared" si="1"/>
        <v>0</v>
      </c>
    </row>
    <row r="13" spans="2:16" ht="13.5" thickBot="1">
      <c r="B13" s="2077"/>
      <c r="C13" s="878" t="s">
        <v>1402</v>
      </c>
      <c r="D13" s="847">
        <f>結果!H61</f>
        <v>0</v>
      </c>
      <c r="E13" s="847">
        <f>結果!J61</f>
        <v>0</v>
      </c>
      <c r="F13" s="847">
        <f>結果!L61</f>
        <v>0</v>
      </c>
      <c r="G13" s="879">
        <f>結果!Q61</f>
        <v>0</v>
      </c>
      <c r="H13" s="894"/>
      <c r="I13" s="894"/>
      <c r="J13" s="868">
        <f>IF(D32&gt;=D33,D13,IF(E32&gt;=D33,E13,F13))</f>
        <v>0</v>
      </c>
      <c r="K13" s="869">
        <f>温度条件他根拠!J36</f>
        <v>2.5</v>
      </c>
      <c r="L13" s="870">
        <f t="shared" si="0"/>
        <v>0</v>
      </c>
      <c r="M13" s="896"/>
      <c r="N13" s="865">
        <v>0</v>
      </c>
      <c r="O13" s="863">
        <f t="shared" si="2"/>
        <v>2.5</v>
      </c>
      <c r="P13" s="870">
        <f t="shared" si="1"/>
        <v>0</v>
      </c>
    </row>
    <row r="14" spans="2:16" ht="13.5" customHeight="1" thickBot="1">
      <c r="B14" s="2095"/>
      <c r="C14" s="884" t="s">
        <v>1124</v>
      </c>
      <c r="D14" s="885">
        <f>SUM(D6:D13)</f>
        <v>0</v>
      </c>
      <c r="E14" s="885">
        <f t="shared" ref="E14:G14" si="3">SUM(E6:E13)</f>
        <v>0</v>
      </c>
      <c r="F14" s="885">
        <f t="shared" si="3"/>
        <v>0</v>
      </c>
      <c r="G14" s="886">
        <f t="shared" si="3"/>
        <v>0</v>
      </c>
      <c r="H14" s="894"/>
      <c r="I14" s="894"/>
      <c r="J14" s="874">
        <f>SUM(J6:J13)</f>
        <v>0</v>
      </c>
      <c r="K14" s="875"/>
      <c r="L14" s="876">
        <f>SUM(L6:L13)</f>
        <v>0</v>
      </c>
      <c r="M14" s="896"/>
      <c r="N14" s="874">
        <f>SUM(N6:N13)</f>
        <v>0</v>
      </c>
      <c r="O14" s="875"/>
      <c r="P14" s="876">
        <f>SUM(P6:P13)</f>
        <v>0</v>
      </c>
    </row>
    <row r="15" spans="2:16" ht="13.5" thickBot="1">
      <c r="B15" s="2088" t="s">
        <v>1128</v>
      </c>
      <c r="C15" s="843" t="str">
        <f>C6</f>
        <v>北</v>
      </c>
      <c r="D15" s="844">
        <f>結果!H94</f>
        <v>0</v>
      </c>
      <c r="E15" s="844">
        <f>結果!J94</f>
        <v>0</v>
      </c>
      <c r="F15" s="844">
        <f>結果!L94</f>
        <v>0</v>
      </c>
      <c r="G15" s="845">
        <f>結果!Q94</f>
        <v>0</v>
      </c>
      <c r="H15" s="1010"/>
      <c r="I15" s="1010"/>
      <c r="J15" s="894"/>
      <c r="K15" s="894"/>
      <c r="L15" s="894"/>
      <c r="M15" s="896"/>
      <c r="N15" s="896"/>
      <c r="O15" s="896"/>
      <c r="P15" s="897"/>
    </row>
    <row r="16" spans="2:16">
      <c r="B16" s="2077"/>
      <c r="C16" s="846" t="str">
        <f t="shared" ref="C16:C32" si="4">C7</f>
        <v>北東</v>
      </c>
      <c r="D16" s="847">
        <f>結果!H95</f>
        <v>0</v>
      </c>
      <c r="E16" s="847">
        <f>結果!J95</f>
        <v>0</v>
      </c>
      <c r="F16" s="847">
        <f>結果!L95</f>
        <v>0</v>
      </c>
      <c r="G16" s="848">
        <f>結果!Q95</f>
        <v>0</v>
      </c>
      <c r="H16" s="1010"/>
      <c r="I16" s="1010"/>
      <c r="J16" s="2084" t="s">
        <v>1125</v>
      </c>
      <c r="K16" s="2084" t="s">
        <v>1389</v>
      </c>
      <c r="L16" s="2084" t="s">
        <v>1126</v>
      </c>
      <c r="M16" s="896"/>
      <c r="N16" s="2084" t="s">
        <v>1127</v>
      </c>
      <c r="O16" s="2084" t="s">
        <v>1389</v>
      </c>
      <c r="P16" s="2084" t="s">
        <v>1390</v>
      </c>
    </row>
    <row r="17" spans="2:16">
      <c r="B17" s="2077"/>
      <c r="C17" s="846" t="str">
        <f t="shared" si="4"/>
        <v>東</v>
      </c>
      <c r="D17" s="847">
        <f>結果!H96</f>
        <v>0</v>
      </c>
      <c r="E17" s="847">
        <f>結果!J96</f>
        <v>0</v>
      </c>
      <c r="F17" s="847">
        <f>結果!L96</f>
        <v>0</v>
      </c>
      <c r="G17" s="848">
        <f>結果!Q96</f>
        <v>0</v>
      </c>
      <c r="H17" s="1010"/>
      <c r="I17" s="1010"/>
      <c r="J17" s="2085"/>
      <c r="K17" s="2085"/>
      <c r="L17" s="2085"/>
      <c r="M17" s="896"/>
      <c r="N17" s="2085"/>
      <c r="O17" s="2085"/>
      <c r="P17" s="2085"/>
    </row>
    <row r="18" spans="2:16">
      <c r="B18" s="2077"/>
      <c r="C18" s="846" t="str">
        <f t="shared" si="4"/>
        <v>南東</v>
      </c>
      <c r="D18" s="847">
        <f>結果!H97</f>
        <v>0</v>
      </c>
      <c r="E18" s="847">
        <f>結果!J97</f>
        <v>0</v>
      </c>
      <c r="F18" s="847">
        <f>結果!L97</f>
        <v>0</v>
      </c>
      <c r="G18" s="848">
        <f>結果!Q97</f>
        <v>0</v>
      </c>
      <c r="H18" s="1010"/>
      <c r="I18" s="1010"/>
      <c r="J18" s="2085"/>
      <c r="K18" s="2085"/>
      <c r="L18" s="2085"/>
      <c r="M18" s="896"/>
      <c r="N18" s="2085"/>
      <c r="O18" s="2085"/>
      <c r="P18" s="2085"/>
    </row>
    <row r="19" spans="2:16">
      <c r="B19" s="2077"/>
      <c r="C19" s="846" t="str">
        <f t="shared" si="4"/>
        <v>南</v>
      </c>
      <c r="D19" s="847">
        <f>結果!H98</f>
        <v>0</v>
      </c>
      <c r="E19" s="847">
        <f>結果!J98</f>
        <v>0</v>
      </c>
      <c r="F19" s="847">
        <f>結果!L98</f>
        <v>0</v>
      </c>
      <c r="G19" s="848">
        <f>結果!Q98</f>
        <v>0</v>
      </c>
      <c r="H19" s="1010"/>
      <c r="I19" s="1010"/>
      <c r="J19" s="2085"/>
      <c r="K19" s="2085"/>
      <c r="L19" s="2085"/>
      <c r="M19" s="896"/>
      <c r="N19" s="2085"/>
      <c r="O19" s="2085"/>
      <c r="P19" s="2085"/>
    </row>
    <row r="20" spans="2:16">
      <c r="B20" s="2077"/>
      <c r="C20" s="846" t="str">
        <f t="shared" si="4"/>
        <v>南西</v>
      </c>
      <c r="D20" s="847">
        <f>結果!H99</f>
        <v>0</v>
      </c>
      <c r="E20" s="847">
        <f>結果!J99</f>
        <v>0</v>
      </c>
      <c r="F20" s="847">
        <f>結果!L99</f>
        <v>0</v>
      </c>
      <c r="G20" s="848">
        <f>結果!Q99</f>
        <v>0</v>
      </c>
      <c r="H20" s="1010"/>
      <c r="I20" s="1010"/>
      <c r="J20" s="2085"/>
      <c r="K20" s="2085"/>
      <c r="L20" s="2085"/>
      <c r="M20" s="896"/>
      <c r="N20" s="2085"/>
      <c r="O20" s="2085"/>
      <c r="P20" s="2085"/>
    </row>
    <row r="21" spans="2:16">
      <c r="B21" s="2077"/>
      <c r="C21" s="846" t="str">
        <f t="shared" si="4"/>
        <v>西</v>
      </c>
      <c r="D21" s="847">
        <f>結果!H100</f>
        <v>0</v>
      </c>
      <c r="E21" s="847">
        <f>結果!J100</f>
        <v>0</v>
      </c>
      <c r="F21" s="847">
        <f>結果!L100</f>
        <v>0</v>
      </c>
      <c r="G21" s="848">
        <f>結果!Q100</f>
        <v>0</v>
      </c>
      <c r="H21" s="1010"/>
      <c r="I21" s="1010"/>
      <c r="J21" s="2085"/>
      <c r="K21" s="2085"/>
      <c r="L21" s="2085"/>
      <c r="M21" s="896"/>
      <c r="N21" s="2085"/>
      <c r="O21" s="2085"/>
      <c r="P21" s="2085"/>
    </row>
    <row r="22" spans="2:16" ht="13.5" thickBot="1">
      <c r="B22" s="2077"/>
      <c r="C22" s="849" t="str">
        <f t="shared" si="4"/>
        <v>北西</v>
      </c>
      <c r="D22" s="847">
        <f>結果!H101</f>
        <v>0</v>
      </c>
      <c r="E22" s="847">
        <f>結果!J101</f>
        <v>0</v>
      </c>
      <c r="F22" s="847">
        <f>結果!L101</f>
        <v>0</v>
      </c>
      <c r="G22" s="848">
        <f>結果!Q101</f>
        <v>0</v>
      </c>
      <c r="H22" s="1010"/>
      <c r="I22" s="1010"/>
      <c r="J22" s="2086"/>
      <c r="K22" s="2085"/>
      <c r="L22" s="2085"/>
      <c r="M22" s="896"/>
      <c r="N22" s="2085"/>
      <c r="O22" s="2085"/>
      <c r="P22" s="2085"/>
    </row>
    <row r="23" spans="2:16" ht="13.5" thickBot="1">
      <c r="B23" s="2079"/>
      <c r="C23" s="852" t="str">
        <f t="shared" si="4"/>
        <v>合計</v>
      </c>
      <c r="D23" s="853">
        <f>SUM(D15:D22)</f>
        <v>0</v>
      </c>
      <c r="E23" s="853">
        <f t="shared" ref="E23:G23" si="5">SUM(E15:E22)</f>
        <v>0</v>
      </c>
      <c r="F23" s="853">
        <f t="shared" si="5"/>
        <v>0</v>
      </c>
      <c r="G23" s="854">
        <f t="shared" si="5"/>
        <v>0</v>
      </c>
      <c r="H23" s="1010"/>
      <c r="I23" s="1010"/>
      <c r="J23" s="855" t="str">
        <f>IF(D32&gt;=D33,"９時",IF(E32&gt;=D33,"１２時","１５時"))</f>
        <v>９時</v>
      </c>
      <c r="K23" s="2087"/>
      <c r="L23" s="2087"/>
      <c r="M23" s="896"/>
      <c r="N23" s="999"/>
      <c r="O23" s="2087"/>
      <c r="P23" s="2087"/>
    </row>
    <row r="24" spans="2:16">
      <c r="B24" s="2076" t="s">
        <v>1129</v>
      </c>
      <c r="C24" s="856" t="str">
        <f>C15</f>
        <v>北</v>
      </c>
      <c r="D24" s="844">
        <f>D6-D15</f>
        <v>0</v>
      </c>
      <c r="E24" s="844">
        <f t="shared" ref="E24:G24" si="6">E6-E15</f>
        <v>0</v>
      </c>
      <c r="F24" s="844">
        <f t="shared" si="6"/>
        <v>0</v>
      </c>
      <c r="G24" s="845">
        <f t="shared" si="6"/>
        <v>0</v>
      </c>
      <c r="H24" s="1010"/>
      <c r="I24" s="1010"/>
      <c r="J24" s="857">
        <f>IF(D32&gt;=D33,D24,IF(E32&gt;=D33,E24,F24))</f>
        <v>0</v>
      </c>
      <c r="K24" s="858">
        <f>温度条件他根拠!C36</f>
        <v>0</v>
      </c>
      <c r="L24" s="859">
        <f>K24*J24</f>
        <v>0</v>
      </c>
      <c r="M24" s="896"/>
      <c r="N24" s="860">
        <f>G24</f>
        <v>0</v>
      </c>
      <c r="O24" s="858">
        <f>K24</f>
        <v>0</v>
      </c>
      <c r="P24" s="859">
        <f>O24*N24</f>
        <v>0</v>
      </c>
    </row>
    <row r="25" spans="2:16">
      <c r="B25" s="2077"/>
      <c r="C25" s="861" t="str">
        <f t="shared" si="4"/>
        <v>北東</v>
      </c>
      <c r="D25" s="847">
        <f t="shared" ref="D25:G31" si="7">D7-D16</f>
        <v>0</v>
      </c>
      <c r="E25" s="847">
        <f t="shared" si="7"/>
        <v>0</v>
      </c>
      <c r="F25" s="847">
        <f t="shared" si="7"/>
        <v>0</v>
      </c>
      <c r="G25" s="848">
        <f t="shared" si="7"/>
        <v>0</v>
      </c>
      <c r="H25" s="1010"/>
      <c r="I25" s="1010"/>
      <c r="J25" s="862">
        <f>IF(D32&gt;=D33,D25,IF(E32&gt;=D33,E25,F25))</f>
        <v>0</v>
      </c>
      <c r="K25" s="863">
        <f>温度条件他根拠!D36</f>
        <v>2.5</v>
      </c>
      <c r="L25" s="864">
        <f t="shared" ref="L25:L31" si="8">K25*J25</f>
        <v>0</v>
      </c>
      <c r="M25" s="896"/>
      <c r="N25" s="865">
        <f>G25</f>
        <v>0</v>
      </c>
      <c r="O25" s="863">
        <f>K25</f>
        <v>2.5</v>
      </c>
      <c r="P25" s="864">
        <f t="shared" ref="P25:P31" si="9">O25*N25</f>
        <v>0</v>
      </c>
    </row>
    <row r="26" spans="2:16">
      <c r="B26" s="2077"/>
      <c r="C26" s="861" t="str">
        <f t="shared" si="4"/>
        <v>東</v>
      </c>
      <c r="D26" s="847">
        <f t="shared" si="7"/>
        <v>0</v>
      </c>
      <c r="E26" s="847">
        <f t="shared" si="7"/>
        <v>0</v>
      </c>
      <c r="F26" s="847">
        <f t="shared" si="7"/>
        <v>0</v>
      </c>
      <c r="G26" s="848">
        <f t="shared" si="7"/>
        <v>0</v>
      </c>
      <c r="H26" s="1010"/>
      <c r="I26" s="1010"/>
      <c r="J26" s="862">
        <f>IF(D32&gt;=D33,D26,IF(E32&gt;=D33,E26,F26))</f>
        <v>0</v>
      </c>
      <c r="K26" s="863">
        <f>温度条件他根拠!E36</f>
        <v>3.5</v>
      </c>
      <c r="L26" s="864">
        <f t="shared" si="8"/>
        <v>0</v>
      </c>
      <c r="M26" s="896"/>
      <c r="N26" s="865">
        <f t="shared" ref="N26:N31" si="10">G26</f>
        <v>0</v>
      </c>
      <c r="O26" s="863">
        <f t="shared" ref="O26:O31" si="11">K26</f>
        <v>3.5</v>
      </c>
      <c r="P26" s="864">
        <f t="shared" si="9"/>
        <v>0</v>
      </c>
    </row>
    <row r="27" spans="2:16">
      <c r="B27" s="2077"/>
      <c r="C27" s="861" t="str">
        <f t="shared" si="4"/>
        <v>南東</v>
      </c>
      <c r="D27" s="847">
        <f t="shared" si="7"/>
        <v>0</v>
      </c>
      <c r="E27" s="847">
        <f t="shared" si="7"/>
        <v>0</v>
      </c>
      <c r="F27" s="847">
        <f t="shared" si="7"/>
        <v>0</v>
      </c>
      <c r="G27" s="848">
        <f t="shared" si="7"/>
        <v>0</v>
      </c>
      <c r="H27" s="1010"/>
      <c r="I27" s="1010"/>
      <c r="J27" s="862">
        <f>IF(D32&gt;=D33,D27,IF(E32&gt;=D33,E27,F27))</f>
        <v>0</v>
      </c>
      <c r="K27" s="863">
        <f>温度条件他根拠!F36</f>
        <v>4.5</v>
      </c>
      <c r="L27" s="864">
        <f t="shared" si="8"/>
        <v>0</v>
      </c>
      <c r="M27" s="896"/>
      <c r="N27" s="865">
        <f t="shared" si="10"/>
        <v>0</v>
      </c>
      <c r="O27" s="863">
        <f t="shared" si="11"/>
        <v>4.5</v>
      </c>
      <c r="P27" s="864">
        <f t="shared" si="9"/>
        <v>0</v>
      </c>
    </row>
    <row r="28" spans="2:16">
      <c r="B28" s="2077"/>
      <c r="C28" s="861" t="str">
        <f t="shared" si="4"/>
        <v>南</v>
      </c>
      <c r="D28" s="847">
        <f t="shared" si="7"/>
        <v>0</v>
      </c>
      <c r="E28" s="847">
        <f t="shared" si="7"/>
        <v>0</v>
      </c>
      <c r="F28" s="847">
        <f t="shared" si="7"/>
        <v>0</v>
      </c>
      <c r="G28" s="848">
        <f t="shared" si="7"/>
        <v>0</v>
      </c>
      <c r="H28" s="1010"/>
      <c r="I28" s="1010"/>
      <c r="J28" s="862">
        <f>IF(D32&gt;=D33,D28,IF(E32&gt;=D33,E28,F28))</f>
        <v>0</v>
      </c>
      <c r="K28" s="866">
        <f>温度条件他根拠!G36</f>
        <v>5</v>
      </c>
      <c r="L28" s="864">
        <f t="shared" si="8"/>
        <v>0</v>
      </c>
      <c r="M28" s="896"/>
      <c r="N28" s="865">
        <f t="shared" si="10"/>
        <v>0</v>
      </c>
      <c r="O28" s="866">
        <f t="shared" si="11"/>
        <v>5</v>
      </c>
      <c r="P28" s="864">
        <f t="shared" si="9"/>
        <v>0</v>
      </c>
    </row>
    <row r="29" spans="2:16">
      <c r="B29" s="2077"/>
      <c r="C29" s="861" t="str">
        <f t="shared" si="4"/>
        <v>南西</v>
      </c>
      <c r="D29" s="847">
        <f t="shared" si="7"/>
        <v>0</v>
      </c>
      <c r="E29" s="847">
        <f t="shared" si="7"/>
        <v>0</v>
      </c>
      <c r="F29" s="847">
        <f t="shared" si="7"/>
        <v>0</v>
      </c>
      <c r="G29" s="848">
        <f t="shared" si="7"/>
        <v>0</v>
      </c>
      <c r="H29" s="1010"/>
      <c r="I29" s="1010"/>
      <c r="J29" s="862">
        <f>IF(D32&gt;=D33,D29,IF(E32&gt;=D33,E29,F29))</f>
        <v>0</v>
      </c>
      <c r="K29" s="863">
        <f>温度条件他根拠!H36</f>
        <v>4.5</v>
      </c>
      <c r="L29" s="864">
        <f t="shared" si="8"/>
        <v>0</v>
      </c>
      <c r="M29" s="896"/>
      <c r="N29" s="865">
        <f t="shared" si="10"/>
        <v>0</v>
      </c>
      <c r="O29" s="863">
        <f t="shared" si="11"/>
        <v>4.5</v>
      </c>
      <c r="P29" s="864">
        <f t="shared" si="9"/>
        <v>0</v>
      </c>
    </row>
    <row r="30" spans="2:16">
      <c r="B30" s="2077"/>
      <c r="C30" s="861" t="str">
        <f t="shared" si="4"/>
        <v>西</v>
      </c>
      <c r="D30" s="847">
        <f t="shared" si="7"/>
        <v>0</v>
      </c>
      <c r="E30" s="847">
        <f t="shared" si="7"/>
        <v>0</v>
      </c>
      <c r="F30" s="847">
        <f t="shared" si="7"/>
        <v>0</v>
      </c>
      <c r="G30" s="848">
        <f t="shared" si="7"/>
        <v>0</v>
      </c>
      <c r="H30" s="1010"/>
      <c r="I30" s="1010"/>
      <c r="J30" s="862">
        <f>IF(D32&gt;=D33,D30,IF(E32&gt;=D33,E30,F30))</f>
        <v>0</v>
      </c>
      <c r="K30" s="863">
        <f>温度条件他根拠!I36</f>
        <v>3.5</v>
      </c>
      <c r="L30" s="864">
        <f t="shared" si="8"/>
        <v>0</v>
      </c>
      <c r="M30" s="896"/>
      <c r="N30" s="865">
        <f t="shared" si="10"/>
        <v>0</v>
      </c>
      <c r="O30" s="863">
        <f t="shared" si="11"/>
        <v>3.5</v>
      </c>
      <c r="P30" s="864">
        <f t="shared" si="9"/>
        <v>0</v>
      </c>
    </row>
    <row r="31" spans="2:16" ht="13.5" thickBot="1">
      <c r="B31" s="2077"/>
      <c r="C31" s="867" t="str">
        <f t="shared" si="4"/>
        <v>北西</v>
      </c>
      <c r="D31" s="850">
        <f t="shared" si="7"/>
        <v>0</v>
      </c>
      <c r="E31" s="850">
        <f t="shared" si="7"/>
        <v>0</v>
      </c>
      <c r="F31" s="850">
        <f t="shared" si="7"/>
        <v>0</v>
      </c>
      <c r="G31" s="851">
        <f t="shared" si="7"/>
        <v>0</v>
      </c>
      <c r="H31" s="1010"/>
      <c r="I31" s="1010"/>
      <c r="J31" s="868">
        <f>IF(D32&gt;=D33,D31,IF(E32&gt;=D33,E31,F31))</f>
        <v>0</v>
      </c>
      <c r="K31" s="869">
        <f>温度条件他根拠!J36</f>
        <v>2.5</v>
      </c>
      <c r="L31" s="870">
        <f t="shared" si="8"/>
        <v>0</v>
      </c>
      <c r="M31" s="896"/>
      <c r="N31" s="865">
        <f t="shared" si="10"/>
        <v>0</v>
      </c>
      <c r="O31" s="863">
        <f t="shared" si="11"/>
        <v>2.5</v>
      </c>
      <c r="P31" s="870">
        <f t="shared" si="9"/>
        <v>0</v>
      </c>
    </row>
    <row r="32" spans="2:16" ht="13.5" thickBot="1">
      <c r="B32" s="2078"/>
      <c r="C32" s="871" t="str">
        <f t="shared" si="4"/>
        <v>合計</v>
      </c>
      <c r="D32" s="872">
        <f>SUM(D24:D31)</f>
        <v>0</v>
      </c>
      <c r="E32" s="872">
        <f t="shared" ref="E32:G32" si="12">SUM(E24:E31)</f>
        <v>0</v>
      </c>
      <c r="F32" s="872">
        <f t="shared" si="12"/>
        <v>0</v>
      </c>
      <c r="G32" s="873">
        <f t="shared" si="12"/>
        <v>0</v>
      </c>
      <c r="H32" s="1010"/>
      <c r="I32" s="1010"/>
      <c r="J32" s="874">
        <f>SUM(J24:J31)</f>
        <v>0</v>
      </c>
      <c r="K32" s="875"/>
      <c r="L32" s="876">
        <f>SUM(L24:L31)</f>
        <v>0</v>
      </c>
      <c r="M32" s="896"/>
      <c r="N32" s="874">
        <f>SUM(N24:N31)</f>
        <v>0</v>
      </c>
      <c r="O32" s="875"/>
      <c r="P32" s="876">
        <f>SUM(P24:P31)</f>
        <v>0</v>
      </c>
    </row>
    <row r="33" spans="2:30" ht="13.5" thickBot="1">
      <c r="B33" s="2079"/>
      <c r="C33" s="871" t="s">
        <v>1130</v>
      </c>
      <c r="D33" s="2081">
        <f>MAX(D32:F32)</f>
        <v>0</v>
      </c>
      <c r="E33" s="2082"/>
      <c r="F33" s="2083"/>
      <c r="G33" s="873">
        <f>G32</f>
        <v>0</v>
      </c>
      <c r="H33" s="894"/>
      <c r="I33" s="894"/>
      <c r="J33" s="894"/>
      <c r="K33" s="894"/>
      <c r="L33" s="894"/>
      <c r="M33" s="896"/>
      <c r="N33" s="896"/>
      <c r="O33" s="896"/>
      <c r="P33" s="897"/>
    </row>
    <row r="34" spans="2:30">
      <c r="B34" s="892"/>
      <c r="C34" s="892"/>
      <c r="D34" s="892"/>
      <c r="E34" s="892"/>
      <c r="F34" s="892"/>
      <c r="G34" s="892"/>
      <c r="H34" s="896"/>
      <c r="I34" s="896"/>
      <c r="J34" s="892"/>
      <c r="K34" s="892"/>
      <c r="L34" s="892"/>
      <c r="M34" s="896"/>
      <c r="N34" s="892"/>
      <c r="O34" s="892"/>
    </row>
    <row r="35" spans="2:30">
      <c r="B35" s="892"/>
      <c r="C35" s="892"/>
      <c r="D35" s="892"/>
      <c r="E35" s="892"/>
      <c r="F35" s="892"/>
      <c r="G35" s="892"/>
      <c r="H35" s="892"/>
      <c r="I35" s="892"/>
      <c r="J35" s="892"/>
      <c r="K35" s="892"/>
      <c r="L35" s="892"/>
      <c r="M35" s="892"/>
      <c r="N35" s="892"/>
      <c r="O35" s="892"/>
    </row>
    <row r="36" spans="2:30">
      <c r="B36" s="892"/>
      <c r="C36" s="892"/>
      <c r="D36" s="892"/>
      <c r="E36" s="892"/>
      <c r="F36" s="892"/>
      <c r="G36" s="892"/>
      <c r="H36" s="892"/>
      <c r="I36" s="892"/>
      <c r="J36" s="892"/>
      <c r="K36" s="892"/>
      <c r="L36" s="892"/>
      <c r="M36" s="892"/>
      <c r="N36" s="892"/>
      <c r="O36" s="892"/>
    </row>
    <row r="37" spans="2:30">
      <c r="B37" s="892"/>
      <c r="C37" s="892"/>
      <c r="D37" s="892"/>
      <c r="E37" s="892"/>
      <c r="F37" s="892"/>
      <c r="G37" s="892"/>
      <c r="H37" s="892"/>
      <c r="I37" s="892"/>
      <c r="J37" s="892"/>
      <c r="K37" s="892"/>
      <c r="L37" s="892"/>
      <c r="M37" s="892"/>
      <c r="N37" s="892"/>
      <c r="O37" s="892"/>
    </row>
    <row r="38" spans="2:30">
      <c r="B38" s="892"/>
      <c r="C38" s="892"/>
      <c r="D38" s="892"/>
      <c r="E38" s="892"/>
      <c r="F38" s="892"/>
      <c r="G38" s="892"/>
      <c r="H38" s="892"/>
      <c r="I38" s="892"/>
      <c r="J38" s="892"/>
      <c r="K38" s="892"/>
      <c r="L38" s="892"/>
      <c r="M38" s="892"/>
      <c r="N38" s="892"/>
      <c r="O38" s="892"/>
    </row>
    <row r="39" spans="2:30">
      <c r="B39" s="892"/>
      <c r="C39" s="892"/>
      <c r="D39" s="892"/>
      <c r="E39" s="892"/>
      <c r="F39" s="892"/>
      <c r="G39" s="892"/>
      <c r="H39" s="892"/>
      <c r="I39" s="892"/>
      <c r="J39" s="892"/>
      <c r="K39" s="892"/>
      <c r="L39" s="892"/>
      <c r="M39" s="892"/>
      <c r="N39" s="892"/>
      <c r="O39" s="892"/>
    </row>
    <row r="40" spans="2:30">
      <c r="B40" s="892"/>
      <c r="C40" s="892"/>
      <c r="D40" s="892"/>
      <c r="E40" s="892"/>
      <c r="F40" s="892"/>
      <c r="G40" s="892"/>
      <c r="H40" s="892"/>
      <c r="I40" s="892"/>
      <c r="J40" s="892"/>
      <c r="K40" s="892"/>
      <c r="L40" s="892"/>
      <c r="M40" s="892"/>
      <c r="N40" s="892"/>
      <c r="O40" s="892"/>
    </row>
    <row r="41" spans="2:30">
      <c r="B41" s="892"/>
      <c r="C41" s="892"/>
      <c r="D41" s="892"/>
      <c r="E41" s="892"/>
      <c r="F41" s="892"/>
      <c r="G41" s="892"/>
      <c r="H41" s="892"/>
      <c r="I41" s="892"/>
      <c r="J41" s="892"/>
      <c r="K41" s="892"/>
      <c r="L41" s="892"/>
      <c r="M41" s="892"/>
      <c r="N41" s="892"/>
      <c r="O41" s="892"/>
    </row>
    <row r="42" spans="2:30">
      <c r="B42" s="892"/>
      <c r="C42" s="892"/>
      <c r="D42" s="892"/>
      <c r="E42" s="892"/>
      <c r="F42" s="892"/>
      <c r="G42" s="892"/>
      <c r="H42" s="892"/>
      <c r="I42" s="892"/>
      <c r="J42" s="892"/>
      <c r="K42" s="892"/>
      <c r="L42" s="892"/>
      <c r="M42" s="892"/>
      <c r="N42" s="892"/>
      <c r="O42" s="892"/>
    </row>
    <row r="43" spans="2:30">
      <c r="B43" s="892"/>
      <c r="C43" s="892"/>
      <c r="D43" s="892"/>
      <c r="E43" s="892"/>
      <c r="F43" s="892"/>
      <c r="G43" s="892"/>
      <c r="H43" s="892"/>
      <c r="I43" s="892"/>
      <c r="J43" s="892"/>
      <c r="K43" s="892"/>
      <c r="L43" s="892"/>
      <c r="M43" s="892"/>
      <c r="N43" s="892"/>
      <c r="O43" s="892"/>
    </row>
    <row r="44" spans="2:30">
      <c r="B44" s="892"/>
      <c r="C44" s="892"/>
      <c r="D44" s="892"/>
      <c r="E44" s="892"/>
      <c r="F44" s="892"/>
      <c r="G44" s="892"/>
      <c r="H44" s="892"/>
      <c r="I44" s="892"/>
      <c r="J44" s="892"/>
      <c r="K44" s="892"/>
      <c r="L44" s="892"/>
      <c r="M44" s="892"/>
      <c r="N44" s="892"/>
      <c r="O44" s="892"/>
    </row>
    <row r="45" spans="2:30">
      <c r="B45" s="1129" t="s">
        <v>183</v>
      </c>
      <c r="C45" s="1129"/>
      <c r="D45" s="1129"/>
      <c r="E45" s="1129"/>
      <c r="F45" s="1129"/>
      <c r="G45" s="1129"/>
      <c r="H45" s="1129"/>
      <c r="I45" s="1129"/>
      <c r="J45" s="1129"/>
      <c r="K45" s="1129"/>
      <c r="L45" s="1129"/>
      <c r="M45" s="1129"/>
      <c r="N45" s="1129"/>
      <c r="O45" s="1129"/>
    </row>
    <row r="46" spans="2:30" ht="36">
      <c r="B46" s="686" t="s">
        <v>0</v>
      </c>
      <c r="C46" s="814" t="s">
        <v>1117</v>
      </c>
      <c r="D46" s="814" t="s">
        <v>1118</v>
      </c>
      <c r="E46" s="814" t="s">
        <v>1116</v>
      </c>
      <c r="F46" s="20" t="s">
        <v>42</v>
      </c>
      <c r="G46" s="20" t="s">
        <v>43</v>
      </c>
      <c r="H46" s="18" t="s">
        <v>35</v>
      </c>
      <c r="I46" s="18" t="s">
        <v>36</v>
      </c>
      <c r="J46" s="20" t="s">
        <v>2</v>
      </c>
      <c r="K46" s="20" t="s">
        <v>3</v>
      </c>
      <c r="L46" s="20" t="s">
        <v>39</v>
      </c>
      <c r="M46" s="20" t="s">
        <v>38</v>
      </c>
      <c r="N46" s="20" t="s">
        <v>37</v>
      </c>
      <c r="O46" s="20" t="s">
        <v>44</v>
      </c>
      <c r="Q46" s="686" t="s">
        <v>0</v>
      </c>
      <c r="R46" s="1017" t="s">
        <v>1391</v>
      </c>
      <c r="S46" s="1017" t="s">
        <v>1392</v>
      </c>
      <c r="T46" s="1017" t="s">
        <v>1116</v>
      </c>
      <c r="U46" s="20" t="s">
        <v>42</v>
      </c>
      <c r="V46" s="20" t="s">
        <v>43</v>
      </c>
      <c r="W46" s="18" t="s">
        <v>35</v>
      </c>
      <c r="X46" s="18" t="s">
        <v>36</v>
      </c>
      <c r="Y46" s="20" t="s">
        <v>2</v>
      </c>
      <c r="Z46" s="20" t="s">
        <v>3</v>
      </c>
      <c r="AA46" s="20" t="s">
        <v>39</v>
      </c>
      <c r="AB46" s="20" t="s">
        <v>38</v>
      </c>
      <c r="AC46" s="20" t="s">
        <v>37</v>
      </c>
      <c r="AD46" s="20" t="s">
        <v>44</v>
      </c>
    </row>
    <row r="47" spans="2:30" ht="36">
      <c r="B47" s="686" t="s">
        <v>14</v>
      </c>
      <c r="C47" s="20" t="s">
        <v>16</v>
      </c>
      <c r="D47" s="20" t="s">
        <v>17</v>
      </c>
      <c r="E47" s="704" t="s">
        <v>18</v>
      </c>
      <c r="F47" s="20" t="s">
        <v>19</v>
      </c>
      <c r="G47" s="20" t="s">
        <v>20</v>
      </c>
      <c r="H47" s="20" t="s">
        <v>30</v>
      </c>
      <c r="I47" s="20" t="s">
        <v>29</v>
      </c>
      <c r="J47" s="20" t="s">
        <v>21</v>
      </c>
      <c r="K47" s="20" t="s">
        <v>22</v>
      </c>
      <c r="L47" s="20" t="s">
        <v>608</v>
      </c>
      <c r="M47" s="20" t="s">
        <v>607</v>
      </c>
      <c r="N47" s="687" t="s">
        <v>25</v>
      </c>
      <c r="O47" s="20" t="s">
        <v>32</v>
      </c>
      <c r="Q47" s="686" t="s">
        <v>14</v>
      </c>
      <c r="R47" s="20" t="s">
        <v>16</v>
      </c>
      <c r="S47" s="20" t="s">
        <v>17</v>
      </c>
      <c r="T47" s="704" t="s">
        <v>18</v>
      </c>
      <c r="U47" s="20" t="s">
        <v>19</v>
      </c>
      <c r="V47" s="20" t="s">
        <v>20</v>
      </c>
      <c r="W47" s="20" t="s">
        <v>30</v>
      </c>
      <c r="X47" s="20" t="s">
        <v>29</v>
      </c>
      <c r="Y47" s="20" t="s">
        <v>21</v>
      </c>
      <c r="Z47" s="20" t="s">
        <v>22</v>
      </c>
      <c r="AA47" s="20" t="s">
        <v>608</v>
      </c>
      <c r="AB47" s="20" t="s">
        <v>607</v>
      </c>
      <c r="AC47" s="687" t="s">
        <v>25</v>
      </c>
      <c r="AD47" s="20" t="s">
        <v>32</v>
      </c>
    </row>
    <row r="48" spans="2:30">
      <c r="B48" s="684" t="s">
        <v>15</v>
      </c>
      <c r="C48" s="835" t="s">
        <v>1115</v>
      </c>
      <c r="D48" s="835" t="s">
        <v>1115</v>
      </c>
      <c r="E48" s="835" t="s">
        <v>172</v>
      </c>
      <c r="F48" s="5" t="s">
        <v>10</v>
      </c>
      <c r="G48" s="5" t="s">
        <v>10</v>
      </c>
      <c r="H48" s="5" t="s">
        <v>27</v>
      </c>
      <c r="I48" s="5" t="s">
        <v>27</v>
      </c>
      <c r="J48" s="5" t="s">
        <v>10</v>
      </c>
      <c r="K48" s="5" t="s">
        <v>10</v>
      </c>
      <c r="L48" s="5" t="s">
        <v>27</v>
      </c>
      <c r="M48" s="5" t="s">
        <v>27</v>
      </c>
      <c r="N48" s="5" t="s">
        <v>27</v>
      </c>
      <c r="O48" s="684" t="s">
        <v>31</v>
      </c>
      <c r="Q48" s="684" t="s">
        <v>15</v>
      </c>
      <c r="R48" s="835" t="s">
        <v>1115</v>
      </c>
      <c r="S48" s="835" t="s">
        <v>1115</v>
      </c>
      <c r="T48" s="835" t="s">
        <v>172</v>
      </c>
      <c r="U48" s="5" t="s">
        <v>10</v>
      </c>
      <c r="V48" s="5" t="s">
        <v>10</v>
      </c>
      <c r="W48" s="5" t="s">
        <v>27</v>
      </c>
      <c r="X48" s="5" t="s">
        <v>27</v>
      </c>
      <c r="Y48" s="5" t="s">
        <v>10</v>
      </c>
      <c r="Z48" s="5" t="s">
        <v>10</v>
      </c>
      <c r="AA48" s="5" t="s">
        <v>27</v>
      </c>
      <c r="AB48" s="5" t="s">
        <v>27</v>
      </c>
      <c r="AC48" s="5" t="s">
        <v>27</v>
      </c>
      <c r="AD48" s="684" t="s">
        <v>31</v>
      </c>
    </row>
    <row r="49" spans="2:30">
      <c r="B49" s="684">
        <v>1</v>
      </c>
      <c r="C49" s="3"/>
      <c r="D49" s="836">
        <f>P32</f>
        <v>0</v>
      </c>
      <c r="E49" s="837">
        <f>温度条件他根拠!E21</f>
        <v>0</v>
      </c>
      <c r="F49" s="838">
        <v>0</v>
      </c>
      <c r="G49" s="839">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3">H49/J49</f>
        <v>0</v>
      </c>
      <c r="M49" s="7">
        <f t="shared" si="13"/>
        <v>0</v>
      </c>
      <c r="N49" s="13">
        <f>L49+M49</f>
        <v>0</v>
      </c>
      <c r="O49" s="12">
        <f>N49*0.495/1000</f>
        <v>0</v>
      </c>
      <c r="Q49" s="684">
        <v>1</v>
      </c>
      <c r="R49" s="3"/>
      <c r="S49" s="836">
        <f>P14</f>
        <v>0</v>
      </c>
      <c r="T49" s="837">
        <f>温度条件他根拠!E21</f>
        <v>0</v>
      </c>
      <c r="U49" s="838">
        <f>F49</f>
        <v>0</v>
      </c>
      <c r="V49" s="1001">
        <f>G49</f>
        <v>0.8</v>
      </c>
      <c r="W49" s="7">
        <f t="shared" ref="W49:W57" si="14">$R$56*T49*U49/1000</f>
        <v>0</v>
      </c>
      <c r="X49" s="7">
        <f t="shared" ref="X49:X57" si="15">V49*T49*$S$49/1000</f>
        <v>0</v>
      </c>
      <c r="Y49" s="6">
        <f>温度条件他根拠!C61</f>
        <v>3.55</v>
      </c>
      <c r="Z49" s="6">
        <f>温度条件他根拠!C62</f>
        <v>3.95</v>
      </c>
      <c r="AA49" s="7">
        <f t="shared" ref="AA49:AB60" si="16">W49/Y49</f>
        <v>0</v>
      </c>
      <c r="AB49" s="7">
        <f t="shared" si="16"/>
        <v>0</v>
      </c>
      <c r="AC49" s="13">
        <f>AA49+AB49</f>
        <v>0</v>
      </c>
      <c r="AD49" s="12">
        <f>AC49*0.495/1000</f>
        <v>0</v>
      </c>
    </row>
    <row r="50" spans="2:30">
      <c r="B50" s="684">
        <v>2</v>
      </c>
      <c r="C50" s="3"/>
      <c r="D50" s="3"/>
      <c r="E50" s="838">
        <f>E49</f>
        <v>0</v>
      </c>
      <c r="F50" s="838">
        <v>0</v>
      </c>
      <c r="G50" s="839">
        <f>0.8*(温度条件他根拠!$F$10--3.3)/(温度条件他根拠!$F$10-温度条件他根拠!$F$8)</f>
        <v>0.77024793388429758</v>
      </c>
      <c r="H50" s="7">
        <f t="shared" ref="H50:H60" si="17">$C$56*E50*F50/1000</f>
        <v>0</v>
      </c>
      <c r="I50" s="7">
        <f t="shared" ref="I50:I60" si="18">G50*E50*$D$49/1000</f>
        <v>0</v>
      </c>
      <c r="J50" s="2">
        <f>J49</f>
        <v>3.55</v>
      </c>
      <c r="K50" s="6">
        <f>K49</f>
        <v>3.95</v>
      </c>
      <c r="L50" s="7">
        <f t="shared" si="13"/>
        <v>0</v>
      </c>
      <c r="M50" s="7">
        <f t="shared" si="13"/>
        <v>0</v>
      </c>
      <c r="N50" s="13">
        <f t="shared" ref="N50:N60" si="19">L50+M50</f>
        <v>0</v>
      </c>
      <c r="O50" s="12">
        <f t="shared" ref="O50:O60" si="20">N50*0.495/1000</f>
        <v>0</v>
      </c>
      <c r="Q50" s="684">
        <v>2</v>
      </c>
      <c r="R50" s="3"/>
      <c r="S50" s="3"/>
      <c r="T50" s="838">
        <f>T49</f>
        <v>0</v>
      </c>
      <c r="U50" s="838">
        <f t="shared" ref="U50:V60" si="21">F50</f>
        <v>0</v>
      </c>
      <c r="V50" s="1001">
        <f t="shared" si="21"/>
        <v>0.77024793388429758</v>
      </c>
      <c r="W50" s="7">
        <f t="shared" si="14"/>
        <v>0</v>
      </c>
      <c r="X50" s="7">
        <f t="shared" si="15"/>
        <v>0</v>
      </c>
      <c r="Y50" s="2">
        <f>Y49</f>
        <v>3.55</v>
      </c>
      <c r="Z50" s="6">
        <f>Z49</f>
        <v>3.95</v>
      </c>
      <c r="AA50" s="7">
        <f t="shared" si="16"/>
        <v>0</v>
      </c>
      <c r="AB50" s="7">
        <f t="shared" si="16"/>
        <v>0</v>
      </c>
      <c r="AC50" s="13">
        <f t="shared" ref="AC50:AC60" si="22">AA50+AB50</f>
        <v>0</v>
      </c>
      <c r="AD50" s="12">
        <f t="shared" ref="AD50:AD60" si="23">AC50*0.495/1000</f>
        <v>0</v>
      </c>
    </row>
    <row r="51" spans="2:30">
      <c r="B51" s="684">
        <v>3</v>
      </c>
      <c r="C51" s="3"/>
      <c r="D51" s="3"/>
      <c r="E51" s="838">
        <f t="shared" ref="E51:E60" si="24">E50</f>
        <v>0</v>
      </c>
      <c r="F51" s="838">
        <v>0</v>
      </c>
      <c r="G51" s="839">
        <f>0.8*(温度条件他根拠!$F$10-0.2)/(温度条件他根拠!$F$10-温度条件他根拠!$F$8)</f>
        <v>0.65454545454545465</v>
      </c>
      <c r="H51" s="7">
        <f t="shared" si="17"/>
        <v>0</v>
      </c>
      <c r="I51" s="7">
        <f t="shared" si="18"/>
        <v>0</v>
      </c>
      <c r="J51" s="2">
        <f t="shared" ref="J51:K60" si="25">J50</f>
        <v>3.55</v>
      </c>
      <c r="K51" s="6">
        <f t="shared" si="25"/>
        <v>3.95</v>
      </c>
      <c r="L51" s="7">
        <f t="shared" si="13"/>
        <v>0</v>
      </c>
      <c r="M51" s="7">
        <f t="shared" si="13"/>
        <v>0</v>
      </c>
      <c r="N51" s="13">
        <f t="shared" si="19"/>
        <v>0</v>
      </c>
      <c r="O51" s="12">
        <f t="shared" si="20"/>
        <v>0</v>
      </c>
      <c r="Q51" s="684">
        <v>3</v>
      </c>
      <c r="R51" s="3"/>
      <c r="S51" s="3"/>
      <c r="T51" s="838">
        <f t="shared" ref="T51:T60" si="26">T50</f>
        <v>0</v>
      </c>
      <c r="U51" s="838">
        <f t="shared" si="21"/>
        <v>0</v>
      </c>
      <c r="V51" s="1001">
        <f t="shared" si="21"/>
        <v>0.65454545454545465</v>
      </c>
      <c r="W51" s="7">
        <f t="shared" si="14"/>
        <v>0</v>
      </c>
      <c r="X51" s="7">
        <f t="shared" si="15"/>
        <v>0</v>
      </c>
      <c r="Y51" s="2">
        <f t="shared" ref="Y51:Z60" si="27">Y50</f>
        <v>3.55</v>
      </c>
      <c r="Z51" s="6">
        <f t="shared" si="27"/>
        <v>3.95</v>
      </c>
      <c r="AA51" s="7">
        <f t="shared" si="16"/>
        <v>0</v>
      </c>
      <c r="AB51" s="7">
        <f t="shared" si="16"/>
        <v>0</v>
      </c>
      <c r="AC51" s="13">
        <f t="shared" si="22"/>
        <v>0</v>
      </c>
      <c r="AD51" s="12">
        <f t="shared" si="23"/>
        <v>0</v>
      </c>
    </row>
    <row r="52" spans="2:30">
      <c r="B52" s="684">
        <v>4</v>
      </c>
      <c r="C52" s="3"/>
      <c r="D52" s="3"/>
      <c r="E52" s="838">
        <f t="shared" si="24"/>
        <v>0</v>
      </c>
      <c r="F52" s="838">
        <v>0</v>
      </c>
      <c r="G52" s="839">
        <f>0.8*(温度条件他根拠!$F$10-5.8)/(温度条件他根拠!$F$10-温度条件他根拠!$F$8)</f>
        <v>0.46942148760330576</v>
      </c>
      <c r="H52" s="7">
        <f t="shared" si="17"/>
        <v>0</v>
      </c>
      <c r="I52" s="7">
        <f t="shared" si="18"/>
        <v>0</v>
      </c>
      <c r="J52" s="2">
        <f t="shared" si="25"/>
        <v>3.55</v>
      </c>
      <c r="K52" s="6">
        <f t="shared" si="25"/>
        <v>3.95</v>
      </c>
      <c r="L52" s="7">
        <f t="shared" si="13"/>
        <v>0</v>
      </c>
      <c r="M52" s="7">
        <f t="shared" si="13"/>
        <v>0</v>
      </c>
      <c r="N52" s="13">
        <f t="shared" si="19"/>
        <v>0</v>
      </c>
      <c r="O52" s="12">
        <f t="shared" si="20"/>
        <v>0</v>
      </c>
      <c r="Q52" s="684">
        <v>4</v>
      </c>
      <c r="R52" s="3"/>
      <c r="S52" s="3"/>
      <c r="T52" s="838">
        <f t="shared" si="26"/>
        <v>0</v>
      </c>
      <c r="U52" s="838">
        <f t="shared" si="21"/>
        <v>0</v>
      </c>
      <c r="V52" s="1001">
        <f t="shared" si="21"/>
        <v>0.46942148760330576</v>
      </c>
      <c r="W52" s="7">
        <f t="shared" si="14"/>
        <v>0</v>
      </c>
      <c r="X52" s="7">
        <f t="shared" si="15"/>
        <v>0</v>
      </c>
      <c r="Y52" s="2">
        <f t="shared" si="27"/>
        <v>3.55</v>
      </c>
      <c r="Z52" s="6">
        <f t="shared" si="27"/>
        <v>3.95</v>
      </c>
      <c r="AA52" s="7">
        <f t="shared" si="16"/>
        <v>0</v>
      </c>
      <c r="AB52" s="7">
        <f t="shared" si="16"/>
        <v>0</v>
      </c>
      <c r="AC52" s="13">
        <f t="shared" si="22"/>
        <v>0</v>
      </c>
      <c r="AD52" s="12">
        <f t="shared" si="23"/>
        <v>0</v>
      </c>
    </row>
    <row r="53" spans="2:30">
      <c r="B53" s="684">
        <v>5</v>
      </c>
      <c r="C53" s="3"/>
      <c r="D53" s="3"/>
      <c r="E53" s="838">
        <f t="shared" si="24"/>
        <v>0</v>
      </c>
      <c r="F53" s="839">
        <f>0.175*(温度条件他根拠!$F$7-温度条件他根拠!$F$9)/(温度条件他根拠!$F$7-23.1)</f>
        <v>6.2171052631578946E-2</v>
      </c>
      <c r="G53" s="839">
        <f>0.2*(温度条件他根拠!$F$10-11.2)/(温度条件他根拠!$F$10-温度条件他根拠!$F$8)</f>
        <v>7.2727272727272738E-2</v>
      </c>
      <c r="H53" s="836">
        <f>$C$56*E53*F53/1000</f>
        <v>0</v>
      </c>
      <c r="I53" s="836">
        <f>G53*E53*$D$49/1000</f>
        <v>0</v>
      </c>
      <c r="J53" s="2">
        <f t="shared" si="25"/>
        <v>3.55</v>
      </c>
      <c r="K53" s="6">
        <f t="shared" si="25"/>
        <v>3.95</v>
      </c>
      <c r="L53" s="7">
        <f t="shared" si="13"/>
        <v>0</v>
      </c>
      <c r="M53" s="7">
        <f t="shared" si="13"/>
        <v>0</v>
      </c>
      <c r="N53" s="13">
        <f t="shared" si="19"/>
        <v>0</v>
      </c>
      <c r="O53" s="12">
        <f t="shared" si="20"/>
        <v>0</v>
      </c>
      <c r="Q53" s="684">
        <v>5</v>
      </c>
      <c r="R53" s="3"/>
      <c r="S53" s="3"/>
      <c r="T53" s="838">
        <f t="shared" si="26"/>
        <v>0</v>
      </c>
      <c r="U53" s="1001">
        <f t="shared" si="21"/>
        <v>6.2171052631578946E-2</v>
      </c>
      <c r="V53" s="1001">
        <f t="shared" si="21"/>
        <v>7.2727272727272738E-2</v>
      </c>
      <c r="W53" s="836">
        <f t="shared" si="14"/>
        <v>0</v>
      </c>
      <c r="X53" s="836">
        <f t="shared" si="15"/>
        <v>0</v>
      </c>
      <c r="Y53" s="2">
        <f t="shared" si="27"/>
        <v>3.55</v>
      </c>
      <c r="Z53" s="6">
        <f t="shared" si="27"/>
        <v>3.95</v>
      </c>
      <c r="AA53" s="7">
        <f t="shared" si="16"/>
        <v>0</v>
      </c>
      <c r="AB53" s="7">
        <f t="shared" si="16"/>
        <v>0</v>
      </c>
      <c r="AC53" s="13">
        <f t="shared" si="22"/>
        <v>0</v>
      </c>
      <c r="AD53" s="12">
        <f t="shared" si="23"/>
        <v>0</v>
      </c>
    </row>
    <row r="54" spans="2:30">
      <c r="B54" s="684">
        <v>6</v>
      </c>
      <c r="C54" s="3"/>
      <c r="D54" s="3"/>
      <c r="E54" s="838">
        <f t="shared" si="24"/>
        <v>0</v>
      </c>
      <c r="F54" s="839">
        <f>0.7*(温度条件他根拠!$F$7-温度条件他根拠!$F$9)/(温度条件他根拠!$F$7-25.5)</f>
        <v>0.36346153846153839</v>
      </c>
      <c r="G54" s="838">
        <v>0</v>
      </c>
      <c r="H54" s="7">
        <f t="shared" si="17"/>
        <v>0</v>
      </c>
      <c r="I54" s="7">
        <f t="shared" si="18"/>
        <v>0</v>
      </c>
      <c r="J54" s="2">
        <f t="shared" si="25"/>
        <v>3.55</v>
      </c>
      <c r="K54" s="6">
        <f t="shared" si="25"/>
        <v>3.95</v>
      </c>
      <c r="L54" s="7">
        <f t="shared" si="13"/>
        <v>0</v>
      </c>
      <c r="M54" s="7">
        <f t="shared" si="13"/>
        <v>0</v>
      </c>
      <c r="N54" s="13">
        <f t="shared" si="19"/>
        <v>0</v>
      </c>
      <c r="O54" s="12">
        <f t="shared" si="20"/>
        <v>0</v>
      </c>
      <c r="Q54" s="684">
        <v>6</v>
      </c>
      <c r="R54" s="3"/>
      <c r="S54" s="3"/>
      <c r="T54" s="838">
        <f t="shared" si="26"/>
        <v>0</v>
      </c>
      <c r="U54" s="1001">
        <f t="shared" si="21"/>
        <v>0.36346153846153839</v>
      </c>
      <c r="V54" s="838">
        <f t="shared" si="21"/>
        <v>0</v>
      </c>
      <c r="W54" s="7">
        <f t="shared" si="14"/>
        <v>0</v>
      </c>
      <c r="X54" s="7">
        <f t="shared" si="15"/>
        <v>0</v>
      </c>
      <c r="Y54" s="2">
        <f t="shared" si="27"/>
        <v>3.55</v>
      </c>
      <c r="Z54" s="6">
        <f t="shared" si="27"/>
        <v>3.95</v>
      </c>
      <c r="AA54" s="7">
        <f t="shared" si="16"/>
        <v>0</v>
      </c>
      <c r="AB54" s="7">
        <f t="shared" si="16"/>
        <v>0</v>
      </c>
      <c r="AC54" s="13">
        <f t="shared" si="22"/>
        <v>0</v>
      </c>
      <c r="AD54" s="12">
        <f t="shared" si="23"/>
        <v>0</v>
      </c>
    </row>
    <row r="55" spans="2:30">
      <c r="B55" s="684">
        <v>7</v>
      </c>
      <c r="C55" s="3"/>
      <c r="D55" s="3"/>
      <c r="E55" s="838">
        <f t="shared" si="24"/>
        <v>0</v>
      </c>
      <c r="F55" s="839">
        <f>0.7*(温度条件他根拠!$F$7-温度条件他根拠!$F$9)/(温度条件他根拠!$F$7-28)</f>
        <v>0.7</v>
      </c>
      <c r="G55" s="838">
        <v>0</v>
      </c>
      <c r="H55" s="7">
        <f t="shared" si="17"/>
        <v>0</v>
      </c>
      <c r="I55" s="7">
        <f t="shared" si="18"/>
        <v>0</v>
      </c>
      <c r="J55" s="2">
        <f t="shared" si="25"/>
        <v>3.55</v>
      </c>
      <c r="K55" s="6">
        <f t="shared" si="25"/>
        <v>3.95</v>
      </c>
      <c r="L55" s="7">
        <f t="shared" si="13"/>
        <v>0</v>
      </c>
      <c r="M55" s="7">
        <f t="shared" si="13"/>
        <v>0</v>
      </c>
      <c r="N55" s="13">
        <f t="shared" si="19"/>
        <v>0</v>
      </c>
      <c r="O55" s="12">
        <f t="shared" si="20"/>
        <v>0</v>
      </c>
      <c r="Q55" s="684">
        <v>7</v>
      </c>
      <c r="R55" s="3"/>
      <c r="S55" s="3"/>
      <c r="T55" s="838">
        <f t="shared" si="26"/>
        <v>0</v>
      </c>
      <c r="U55" s="1001">
        <f t="shared" si="21"/>
        <v>0.7</v>
      </c>
      <c r="V55" s="838">
        <f t="shared" si="21"/>
        <v>0</v>
      </c>
      <c r="W55" s="7">
        <f t="shared" si="14"/>
        <v>0</v>
      </c>
      <c r="X55" s="7">
        <f t="shared" si="15"/>
        <v>0</v>
      </c>
      <c r="Y55" s="2">
        <f t="shared" si="27"/>
        <v>3.55</v>
      </c>
      <c r="Z55" s="6">
        <f t="shared" si="27"/>
        <v>3.95</v>
      </c>
      <c r="AA55" s="7">
        <f t="shared" si="16"/>
        <v>0</v>
      </c>
      <c r="AB55" s="7">
        <f t="shared" si="16"/>
        <v>0</v>
      </c>
      <c r="AC55" s="13">
        <f t="shared" si="22"/>
        <v>0</v>
      </c>
      <c r="AD55" s="12">
        <f t="shared" si="23"/>
        <v>0</v>
      </c>
    </row>
    <row r="56" spans="2:30">
      <c r="B56" s="684">
        <v>8</v>
      </c>
      <c r="C56" s="836">
        <f>L32</f>
        <v>0</v>
      </c>
      <c r="D56" s="3"/>
      <c r="E56" s="838">
        <f t="shared" si="24"/>
        <v>0</v>
      </c>
      <c r="F56" s="839">
        <f>0.7*(温度条件他根拠!$F$7-温度条件他根拠!$F$9)/(温度条件他根拠!$F$7-28)</f>
        <v>0.7</v>
      </c>
      <c r="G56" s="838">
        <v>0</v>
      </c>
      <c r="H56" s="7">
        <f t="shared" si="17"/>
        <v>0</v>
      </c>
      <c r="I56" s="7">
        <f t="shared" si="18"/>
        <v>0</v>
      </c>
      <c r="J56" s="2">
        <f t="shared" si="25"/>
        <v>3.55</v>
      </c>
      <c r="K56" s="6">
        <f t="shared" si="25"/>
        <v>3.95</v>
      </c>
      <c r="L56" s="7">
        <f t="shared" si="13"/>
        <v>0</v>
      </c>
      <c r="M56" s="7">
        <f t="shared" si="13"/>
        <v>0</v>
      </c>
      <c r="N56" s="13">
        <f t="shared" si="19"/>
        <v>0</v>
      </c>
      <c r="O56" s="12">
        <f t="shared" si="20"/>
        <v>0</v>
      </c>
      <c r="Q56" s="684">
        <v>8</v>
      </c>
      <c r="R56" s="836">
        <f>L14</f>
        <v>0</v>
      </c>
      <c r="S56" s="3"/>
      <c r="T56" s="838">
        <f t="shared" si="26"/>
        <v>0</v>
      </c>
      <c r="U56" s="1001">
        <f t="shared" si="21"/>
        <v>0.7</v>
      </c>
      <c r="V56" s="838">
        <f t="shared" si="21"/>
        <v>0</v>
      </c>
      <c r="W56" s="7">
        <f t="shared" si="14"/>
        <v>0</v>
      </c>
      <c r="X56" s="7">
        <f t="shared" si="15"/>
        <v>0</v>
      </c>
      <c r="Y56" s="2">
        <f t="shared" si="27"/>
        <v>3.55</v>
      </c>
      <c r="Z56" s="6">
        <f t="shared" si="27"/>
        <v>3.95</v>
      </c>
      <c r="AA56" s="7">
        <f t="shared" si="16"/>
        <v>0</v>
      </c>
      <c r="AB56" s="7">
        <f t="shared" si="16"/>
        <v>0</v>
      </c>
      <c r="AC56" s="13">
        <f t="shared" si="22"/>
        <v>0</v>
      </c>
      <c r="AD56" s="12">
        <f t="shared" si="23"/>
        <v>0</v>
      </c>
    </row>
    <row r="57" spans="2:30">
      <c r="B57" s="684">
        <v>9</v>
      </c>
      <c r="C57" s="3"/>
      <c r="D57" s="3"/>
      <c r="E57" s="838">
        <f t="shared" si="24"/>
        <v>0</v>
      </c>
      <c r="F57" s="839">
        <f>0.7*(温度条件他根拠!$F$7-温度条件他根拠!$F$9)/(温度条件他根拠!$F$7-25.9)</f>
        <v>0.39374999999999982</v>
      </c>
      <c r="G57" s="838">
        <v>0</v>
      </c>
      <c r="H57" s="7">
        <f t="shared" si="17"/>
        <v>0</v>
      </c>
      <c r="I57" s="7">
        <f t="shared" si="18"/>
        <v>0</v>
      </c>
      <c r="J57" s="2">
        <f t="shared" si="25"/>
        <v>3.55</v>
      </c>
      <c r="K57" s="6">
        <f t="shared" si="25"/>
        <v>3.95</v>
      </c>
      <c r="L57" s="7">
        <f t="shared" si="13"/>
        <v>0</v>
      </c>
      <c r="M57" s="7">
        <f t="shared" si="13"/>
        <v>0</v>
      </c>
      <c r="N57" s="13">
        <f t="shared" si="19"/>
        <v>0</v>
      </c>
      <c r="O57" s="12">
        <f t="shared" si="20"/>
        <v>0</v>
      </c>
      <c r="Q57" s="684">
        <v>9</v>
      </c>
      <c r="R57" s="3"/>
      <c r="S57" s="3"/>
      <c r="T57" s="838">
        <f t="shared" si="26"/>
        <v>0</v>
      </c>
      <c r="U57" s="1001">
        <f t="shared" si="21"/>
        <v>0.39374999999999982</v>
      </c>
      <c r="V57" s="838">
        <f t="shared" si="21"/>
        <v>0</v>
      </c>
      <c r="W57" s="7">
        <f t="shared" si="14"/>
        <v>0</v>
      </c>
      <c r="X57" s="7">
        <f t="shared" si="15"/>
        <v>0</v>
      </c>
      <c r="Y57" s="2">
        <f t="shared" si="27"/>
        <v>3.55</v>
      </c>
      <c r="Z57" s="6">
        <f t="shared" si="27"/>
        <v>3.95</v>
      </c>
      <c r="AA57" s="7">
        <f t="shared" si="16"/>
        <v>0</v>
      </c>
      <c r="AB57" s="7">
        <f t="shared" si="16"/>
        <v>0</v>
      </c>
      <c r="AC57" s="13">
        <f t="shared" si="22"/>
        <v>0</v>
      </c>
      <c r="AD57" s="12">
        <f t="shared" si="23"/>
        <v>0</v>
      </c>
    </row>
    <row r="58" spans="2:30">
      <c r="B58" s="684">
        <v>10</v>
      </c>
      <c r="C58" s="3"/>
      <c r="D58" s="3"/>
      <c r="E58" s="838">
        <f t="shared" si="24"/>
        <v>0</v>
      </c>
      <c r="F58" s="839">
        <f>0.175*(温度条件他根拠!$F$7-温度条件他根拠!$F$9)/(温度条件他根拠!$F$7-20.5)</f>
        <v>4.6323529411764694E-2</v>
      </c>
      <c r="G58" s="839">
        <f>0.2*(温度条件他根拠!$F$10-10.5)/(温度条件他根拠!$F$10-温度条件他根拠!$F$8)</f>
        <v>7.8512396694214878E-2</v>
      </c>
      <c r="H58" s="836">
        <f>$C$56*E58*F58/1000</f>
        <v>0</v>
      </c>
      <c r="I58" s="836">
        <f>G58*E58*$D$49/1000</f>
        <v>0</v>
      </c>
      <c r="J58" s="2">
        <f t="shared" si="25"/>
        <v>3.55</v>
      </c>
      <c r="K58" s="6">
        <f t="shared" si="25"/>
        <v>3.95</v>
      </c>
      <c r="L58" s="7">
        <f t="shared" si="13"/>
        <v>0</v>
      </c>
      <c r="M58" s="7">
        <f t="shared" si="13"/>
        <v>0</v>
      </c>
      <c r="N58" s="13">
        <f t="shared" si="19"/>
        <v>0</v>
      </c>
      <c r="O58" s="12">
        <f t="shared" si="20"/>
        <v>0</v>
      </c>
      <c r="Q58" s="684">
        <v>10</v>
      </c>
      <c r="R58" s="3"/>
      <c r="S58" s="3"/>
      <c r="T58" s="838">
        <f t="shared" si="26"/>
        <v>0</v>
      </c>
      <c r="U58" s="1001">
        <f t="shared" si="21"/>
        <v>4.6323529411764694E-2</v>
      </c>
      <c r="V58" s="1001">
        <f t="shared" si="21"/>
        <v>7.8512396694214878E-2</v>
      </c>
      <c r="W58" s="836">
        <f>($R$56*T58*U58/1000)</f>
        <v>0</v>
      </c>
      <c r="X58" s="836">
        <f>(V58*T58*$S$49/1000)</f>
        <v>0</v>
      </c>
      <c r="Y58" s="2">
        <f t="shared" si="27"/>
        <v>3.55</v>
      </c>
      <c r="Z58" s="6">
        <f t="shared" si="27"/>
        <v>3.95</v>
      </c>
      <c r="AA58" s="7">
        <f t="shared" si="16"/>
        <v>0</v>
      </c>
      <c r="AB58" s="7">
        <f t="shared" si="16"/>
        <v>0</v>
      </c>
      <c r="AC58" s="13">
        <f t="shared" si="22"/>
        <v>0</v>
      </c>
      <c r="AD58" s="12">
        <f t="shared" si="23"/>
        <v>0</v>
      </c>
    </row>
    <row r="59" spans="2:30">
      <c r="B59" s="684">
        <v>11</v>
      </c>
      <c r="C59" s="3"/>
      <c r="D59" s="3"/>
      <c r="E59" s="838">
        <f t="shared" si="24"/>
        <v>0</v>
      </c>
      <c r="F59" s="838">
        <v>0</v>
      </c>
      <c r="G59" s="839">
        <f>0.8*(温度条件他根拠!$F$10-3.5)/(温度条件他根拠!$F$10-温度条件他根拠!$F$8)</f>
        <v>0.54545454545454553</v>
      </c>
      <c r="H59" s="7">
        <f t="shared" si="17"/>
        <v>0</v>
      </c>
      <c r="I59" s="7">
        <f t="shared" si="18"/>
        <v>0</v>
      </c>
      <c r="J59" s="2">
        <f t="shared" si="25"/>
        <v>3.55</v>
      </c>
      <c r="K59" s="6">
        <f t="shared" si="25"/>
        <v>3.95</v>
      </c>
      <c r="L59" s="7">
        <f t="shared" si="13"/>
        <v>0</v>
      </c>
      <c r="M59" s="7">
        <f t="shared" si="13"/>
        <v>0</v>
      </c>
      <c r="N59" s="13">
        <f t="shared" si="19"/>
        <v>0</v>
      </c>
      <c r="O59" s="12">
        <f t="shared" si="20"/>
        <v>0</v>
      </c>
      <c r="Q59" s="684">
        <v>11</v>
      </c>
      <c r="R59" s="3"/>
      <c r="S59" s="3"/>
      <c r="T59" s="838">
        <f t="shared" si="26"/>
        <v>0</v>
      </c>
      <c r="U59" s="838">
        <f t="shared" si="21"/>
        <v>0</v>
      </c>
      <c r="V59" s="1001">
        <f t="shared" si="21"/>
        <v>0.54545454545454553</v>
      </c>
      <c r="W59" s="7">
        <f>$R$56*T59*U59/1000</f>
        <v>0</v>
      </c>
      <c r="X59" s="7">
        <f>V59*T59*$S$49/1000</f>
        <v>0</v>
      </c>
      <c r="Y59" s="2">
        <f t="shared" si="27"/>
        <v>3.55</v>
      </c>
      <c r="Z59" s="6">
        <f t="shared" si="27"/>
        <v>3.95</v>
      </c>
      <c r="AA59" s="7">
        <f t="shared" si="16"/>
        <v>0</v>
      </c>
      <c r="AB59" s="7">
        <f t="shared" si="16"/>
        <v>0</v>
      </c>
      <c r="AC59" s="13">
        <f t="shared" si="22"/>
        <v>0</v>
      </c>
      <c r="AD59" s="12">
        <f t="shared" si="23"/>
        <v>0</v>
      </c>
    </row>
    <row r="60" spans="2:30">
      <c r="B60" s="684">
        <v>12</v>
      </c>
      <c r="C60" s="3"/>
      <c r="D60" s="3"/>
      <c r="E60" s="838">
        <f t="shared" si="24"/>
        <v>0</v>
      </c>
      <c r="F60" s="838">
        <v>0</v>
      </c>
      <c r="G60" s="839">
        <f>0.8*(温度条件他根拠!$F$10--0.2)/(温度条件他根拠!$F$10-温度条件他根拠!$F$8)</f>
        <v>0.66776859504132235</v>
      </c>
      <c r="H60" s="7">
        <f t="shared" si="17"/>
        <v>0</v>
      </c>
      <c r="I60" s="7">
        <f t="shared" si="18"/>
        <v>0</v>
      </c>
      <c r="J60" s="2">
        <f t="shared" si="25"/>
        <v>3.55</v>
      </c>
      <c r="K60" s="6">
        <f t="shared" si="25"/>
        <v>3.95</v>
      </c>
      <c r="L60" s="7">
        <f t="shared" si="13"/>
        <v>0</v>
      </c>
      <c r="M60" s="7">
        <f t="shared" si="13"/>
        <v>0</v>
      </c>
      <c r="N60" s="13">
        <f t="shared" si="19"/>
        <v>0</v>
      </c>
      <c r="O60" s="12">
        <f t="shared" si="20"/>
        <v>0</v>
      </c>
      <c r="Q60" s="684">
        <v>12</v>
      </c>
      <c r="R60" s="3"/>
      <c r="S60" s="3"/>
      <c r="T60" s="838">
        <f t="shared" si="26"/>
        <v>0</v>
      </c>
      <c r="U60" s="838">
        <f t="shared" si="21"/>
        <v>0</v>
      </c>
      <c r="V60" s="1001">
        <f t="shared" si="21"/>
        <v>0.66776859504132235</v>
      </c>
      <c r="W60" s="7">
        <f>$R$56*T60*U60/1000</f>
        <v>0</v>
      </c>
      <c r="X60" s="7">
        <f>V60*T60*$S$49/1000</f>
        <v>0</v>
      </c>
      <c r="Y60" s="2">
        <f t="shared" si="27"/>
        <v>3.55</v>
      </c>
      <c r="Z60" s="6">
        <f t="shared" si="27"/>
        <v>3.95</v>
      </c>
      <c r="AA60" s="7">
        <f t="shared" si="16"/>
        <v>0</v>
      </c>
      <c r="AB60" s="7">
        <f t="shared" si="16"/>
        <v>0</v>
      </c>
      <c r="AC60" s="13">
        <f t="shared" si="22"/>
        <v>0</v>
      </c>
      <c r="AD60" s="12">
        <f t="shared" si="23"/>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1079</v>
      </c>
    </row>
    <row r="86" spans="2:3">
      <c r="B86" s="691">
        <v>43927</v>
      </c>
      <c r="C86" s="900" t="s">
        <v>865</v>
      </c>
    </row>
    <row r="87" spans="2:3">
      <c r="B87" s="691">
        <v>43927</v>
      </c>
      <c r="C87" s="690" t="s">
        <v>866</v>
      </c>
    </row>
    <row r="88" spans="2:3">
      <c r="B88" s="691">
        <v>44634</v>
      </c>
      <c r="C88" s="690" t="s">
        <v>1119</v>
      </c>
    </row>
    <row r="89" spans="2:3">
      <c r="C89" s="690" t="s">
        <v>1120</v>
      </c>
    </row>
    <row r="90" spans="2:3">
      <c r="C90" s="1" t="s">
        <v>1121</v>
      </c>
    </row>
    <row r="91" spans="2:3">
      <c r="C91" s="1" t="s">
        <v>1133</v>
      </c>
    </row>
    <row r="92" spans="2:3">
      <c r="C92" s="1" t="s">
        <v>1134</v>
      </c>
    </row>
  </sheetData>
  <mergeCells count="21">
    <mergeCell ref="B2:O2"/>
    <mergeCell ref="P3:P5"/>
    <mergeCell ref="K16:K23"/>
    <mergeCell ref="L16:L23"/>
    <mergeCell ref="N16:N22"/>
    <mergeCell ref="O16:O23"/>
    <mergeCell ref="P16:P23"/>
    <mergeCell ref="B45:O45"/>
    <mergeCell ref="B4:C5"/>
    <mergeCell ref="D4:F4"/>
    <mergeCell ref="G4:G5"/>
    <mergeCell ref="B6:B14"/>
    <mergeCell ref="J3:J5"/>
    <mergeCell ref="K3:K5"/>
    <mergeCell ref="L3:L5"/>
    <mergeCell ref="N3:N5"/>
    <mergeCell ref="O3:O5"/>
    <mergeCell ref="J16:J22"/>
    <mergeCell ref="B15:B23"/>
    <mergeCell ref="B24:B33"/>
    <mergeCell ref="D33:F33"/>
  </mergeCells>
  <phoneticPr fontId="2"/>
  <pageMargins left="0" right="0" top="0.55118110236220474" bottom="0.15748031496062992" header="0.11811023622047245"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tabColor rgb="FF00B0F0"/>
  </sheetPr>
  <dimension ref="B1:AD92"/>
  <sheetViews>
    <sheetView workbookViewId="0">
      <selection activeCell="H9" sqref="H9"/>
    </sheetView>
  </sheetViews>
  <sheetFormatPr defaultColWidth="9" defaultRowHeight="13"/>
  <cols>
    <col min="1" max="1" width="2.7265625" style="1" customWidth="1"/>
    <col min="2" max="7" width="9" style="1"/>
    <col min="8" max="8" width="10.08984375" style="1" customWidth="1"/>
    <col min="9" max="9" width="10.26953125" style="1" bestFit="1" customWidth="1"/>
    <col min="10" max="13" width="9" style="1"/>
    <col min="14" max="14" width="11.453125" style="1" customWidth="1"/>
    <col min="15" max="15" width="9.453125" style="1" customWidth="1"/>
    <col min="16" max="16384" width="9" style="1"/>
  </cols>
  <sheetData>
    <row r="1" spans="2:16">
      <c r="B1" s="155">
        <f>温度条件他根拠!F6</f>
        <v>3</v>
      </c>
      <c r="C1" s="705" t="str">
        <f ca="1">RIGHT(CELL("filename",C1),LEN(CELL("filename",C1))-FIND("]",CELL("filename",C1)))</f>
        <v>秩父市窓断熱</v>
      </c>
    </row>
    <row r="2" spans="2:16" ht="13.5" thickBot="1">
      <c r="B2" s="2080"/>
      <c r="C2" s="2080"/>
      <c r="D2" s="2080"/>
      <c r="E2" s="2080"/>
      <c r="F2" s="2080"/>
      <c r="G2" s="2080"/>
      <c r="H2" s="2080"/>
      <c r="I2" s="2080"/>
      <c r="J2" s="2080"/>
      <c r="K2" s="2080"/>
      <c r="L2" s="2080"/>
      <c r="M2" s="2080"/>
      <c r="N2" s="2080"/>
      <c r="O2" s="2080"/>
    </row>
    <row r="3" spans="2:16" ht="13.5" thickBot="1">
      <c r="B3" s="840" t="s">
        <v>1093</v>
      </c>
      <c r="C3" s="890"/>
      <c r="D3" s="841"/>
      <c r="E3" s="841"/>
      <c r="F3" s="841"/>
      <c r="G3" s="841"/>
      <c r="H3" s="1010"/>
      <c r="I3" s="1010"/>
      <c r="J3" s="2096" t="str">
        <f>J16</f>
        <v>D
時間帯合計値の最大値の方位別冷房負荷（計算採用値）</v>
      </c>
      <c r="K3" s="2099" t="str">
        <f>K16</f>
        <v>E
操業時間
(h/日)</v>
      </c>
      <c r="L3" s="2102" t="str">
        <f>L16</f>
        <v>①
＝ΣD×E
方位別
日冷房
負荷
削減量
（W・h/日）</v>
      </c>
      <c r="M3" s="897"/>
      <c r="N3" s="2096" t="str">
        <f>N16</f>
        <v>F
時間帯合計値の最大値の方位別暖房負荷（計算採用値）</v>
      </c>
      <c r="O3" s="2099" t="str">
        <f>O16</f>
        <v>E
操業時間
(h/日)</v>
      </c>
      <c r="P3" s="2102" t="str">
        <f>P16</f>
        <v>②
＝ΣF×E
方位別
日暖房
負荷
削減量
（W・h/日）</v>
      </c>
    </row>
    <row r="4" spans="2:16">
      <c r="B4" s="2088" t="s">
        <v>1094</v>
      </c>
      <c r="C4" s="2089"/>
      <c r="D4" s="2089" t="s">
        <v>1095</v>
      </c>
      <c r="E4" s="2089"/>
      <c r="F4" s="2089"/>
      <c r="G4" s="2092" t="s">
        <v>1122</v>
      </c>
      <c r="H4" s="894"/>
      <c r="I4" s="894"/>
      <c r="J4" s="2097"/>
      <c r="K4" s="2100"/>
      <c r="L4" s="2103"/>
      <c r="M4" s="896"/>
      <c r="N4" s="2097"/>
      <c r="O4" s="2100"/>
      <c r="P4" s="2103"/>
    </row>
    <row r="5" spans="2:16" ht="13.5" thickBot="1">
      <c r="B5" s="2090"/>
      <c r="C5" s="2091"/>
      <c r="D5" s="842" t="s">
        <v>1098</v>
      </c>
      <c r="E5" s="842" t="s">
        <v>1099</v>
      </c>
      <c r="F5" s="842" t="s">
        <v>1100</v>
      </c>
      <c r="G5" s="2093"/>
      <c r="H5" s="894"/>
      <c r="I5" s="894"/>
      <c r="J5" s="2098"/>
      <c r="K5" s="2101"/>
      <c r="L5" s="2104"/>
      <c r="M5" s="896"/>
      <c r="N5" s="2098"/>
      <c r="O5" s="2101"/>
      <c r="P5" s="2104"/>
    </row>
    <row r="6" spans="2:16">
      <c r="B6" s="2094" t="s">
        <v>1123</v>
      </c>
      <c r="C6" s="881" t="s">
        <v>1395</v>
      </c>
      <c r="D6" s="882">
        <f>結果!H40+結果!H54</f>
        <v>0</v>
      </c>
      <c r="E6" s="882">
        <f>結果!J40+結果!J54</f>
        <v>0</v>
      </c>
      <c r="F6" s="882">
        <f>結果!L40+結果!L54</f>
        <v>0</v>
      </c>
      <c r="G6" s="883">
        <f>結果!Q40</f>
        <v>0</v>
      </c>
      <c r="H6" s="894"/>
      <c r="I6" s="894"/>
      <c r="J6" s="857">
        <f>IF(D32&gt;=D33,D6,IF(E32&gt;=D33,E6,F6))</f>
        <v>0</v>
      </c>
      <c r="K6" s="857">
        <f>K24</f>
        <v>0</v>
      </c>
      <c r="L6" s="859">
        <f>K6*J6</f>
        <v>0</v>
      </c>
      <c r="M6" s="896"/>
      <c r="N6" s="860">
        <f>G6</f>
        <v>0</v>
      </c>
      <c r="O6" s="858">
        <f>K6</f>
        <v>0</v>
      </c>
      <c r="P6" s="859">
        <f>O6*N6</f>
        <v>0</v>
      </c>
    </row>
    <row r="7" spans="2:16">
      <c r="B7" s="2077"/>
      <c r="C7" s="877" t="s">
        <v>1396</v>
      </c>
      <c r="D7" s="882">
        <f>結果!H41+結果!H55</f>
        <v>0</v>
      </c>
      <c r="E7" s="882">
        <f>結果!J41+結果!J55</f>
        <v>0</v>
      </c>
      <c r="F7" s="882">
        <f>結果!L41+結果!L55</f>
        <v>0</v>
      </c>
      <c r="G7" s="879">
        <f>結果!Q41</f>
        <v>0</v>
      </c>
      <c r="H7" s="894"/>
      <c r="I7" s="894"/>
      <c r="J7" s="862">
        <f>IF(D32&gt;=D33,D7,IF(E32&gt;=D33,E7,F7))</f>
        <v>0</v>
      </c>
      <c r="K7" s="862">
        <f>K25</f>
        <v>0</v>
      </c>
      <c r="L7" s="864">
        <f t="shared" ref="L7:L13" si="0">K7*J7</f>
        <v>0</v>
      </c>
      <c r="M7" s="896"/>
      <c r="N7" s="865">
        <f>G7</f>
        <v>0</v>
      </c>
      <c r="O7" s="863">
        <f>K7</f>
        <v>0</v>
      </c>
      <c r="P7" s="864">
        <f t="shared" ref="P7:P13" si="1">O7*N7</f>
        <v>0</v>
      </c>
    </row>
    <row r="8" spans="2:16">
      <c r="B8" s="2077"/>
      <c r="C8" s="877" t="s">
        <v>1397</v>
      </c>
      <c r="D8" s="882">
        <f>結果!H42+結果!H56</f>
        <v>0</v>
      </c>
      <c r="E8" s="882">
        <f>結果!J42+結果!J56</f>
        <v>0</v>
      </c>
      <c r="F8" s="882">
        <f>結果!L42+結果!L56</f>
        <v>0</v>
      </c>
      <c r="G8" s="879">
        <f>結果!Q42</f>
        <v>0</v>
      </c>
      <c r="H8" s="894"/>
      <c r="I8" s="894"/>
      <c r="J8" s="862">
        <f>IF(D32&gt;=D33,D8,IF(E32&gt;=D33,E8,F8))</f>
        <v>0</v>
      </c>
      <c r="K8" s="862">
        <f t="shared" ref="K8:K13" si="2">K26</f>
        <v>0</v>
      </c>
      <c r="L8" s="864">
        <f t="shared" si="0"/>
        <v>0</v>
      </c>
      <c r="M8" s="896"/>
      <c r="N8" s="865">
        <f t="shared" ref="N8:N12" si="3">G8</f>
        <v>0</v>
      </c>
      <c r="O8" s="863">
        <f t="shared" ref="O8:O13" si="4">K8</f>
        <v>0</v>
      </c>
      <c r="P8" s="864">
        <f t="shared" si="1"/>
        <v>0</v>
      </c>
    </row>
    <row r="9" spans="2:16">
      <c r="B9" s="2077"/>
      <c r="C9" s="877" t="s">
        <v>1398</v>
      </c>
      <c r="D9" s="882">
        <f>結果!H43+結果!H57</f>
        <v>0</v>
      </c>
      <c r="E9" s="882">
        <f>結果!J43+結果!J57</f>
        <v>0</v>
      </c>
      <c r="F9" s="882">
        <f>結果!L43+結果!L57</f>
        <v>0</v>
      </c>
      <c r="G9" s="879">
        <f>結果!Q43</f>
        <v>0</v>
      </c>
      <c r="H9" s="894"/>
      <c r="I9" s="894"/>
      <c r="J9" s="862">
        <f>IF(D32&gt;=D33,D9,IF(E32&gt;=D33,E9,F9))</f>
        <v>0</v>
      </c>
      <c r="K9" s="862">
        <f t="shared" si="2"/>
        <v>0</v>
      </c>
      <c r="L9" s="864">
        <f t="shared" si="0"/>
        <v>0</v>
      </c>
      <c r="M9" s="896"/>
      <c r="N9" s="865">
        <f t="shared" si="3"/>
        <v>0</v>
      </c>
      <c r="O9" s="863">
        <f t="shared" si="4"/>
        <v>0</v>
      </c>
      <c r="P9" s="864">
        <f t="shared" si="1"/>
        <v>0</v>
      </c>
    </row>
    <row r="10" spans="2:16">
      <c r="B10" s="2077"/>
      <c r="C10" s="877" t="s">
        <v>1399</v>
      </c>
      <c r="D10" s="882">
        <f>結果!H44+結果!H58</f>
        <v>0</v>
      </c>
      <c r="E10" s="882">
        <f>結果!J44+結果!J58</f>
        <v>0</v>
      </c>
      <c r="F10" s="882">
        <f>結果!L44+結果!L58</f>
        <v>0</v>
      </c>
      <c r="G10" s="879">
        <f>結果!Q44</f>
        <v>0</v>
      </c>
      <c r="H10" s="894"/>
      <c r="I10" s="894"/>
      <c r="J10" s="862">
        <f>IF(D32&gt;=D33,D10,IF(E32&gt;=D33,E10,F10))</f>
        <v>0</v>
      </c>
      <c r="K10" s="862">
        <f t="shared" si="2"/>
        <v>0</v>
      </c>
      <c r="L10" s="864">
        <f t="shared" si="0"/>
        <v>0</v>
      </c>
      <c r="M10" s="896"/>
      <c r="N10" s="865">
        <f t="shared" si="3"/>
        <v>0</v>
      </c>
      <c r="O10" s="862">
        <f t="shared" si="4"/>
        <v>0</v>
      </c>
      <c r="P10" s="864">
        <f t="shared" si="1"/>
        <v>0</v>
      </c>
    </row>
    <row r="11" spans="2:16">
      <c r="B11" s="2077"/>
      <c r="C11" s="877" t="s">
        <v>1400</v>
      </c>
      <c r="D11" s="882">
        <f>結果!H45+結果!H59</f>
        <v>0</v>
      </c>
      <c r="E11" s="882">
        <f>結果!J45+結果!J59</f>
        <v>0</v>
      </c>
      <c r="F11" s="882">
        <f>結果!L45+結果!L59</f>
        <v>0</v>
      </c>
      <c r="G11" s="879">
        <f>結果!Q45</f>
        <v>0</v>
      </c>
      <c r="H11" s="894"/>
      <c r="I11" s="894"/>
      <c r="J11" s="862">
        <f>IF(D32&gt;=D33,D11,IF(E32&gt;=D33,E11,F11))</f>
        <v>0</v>
      </c>
      <c r="K11" s="862">
        <f t="shared" si="2"/>
        <v>0</v>
      </c>
      <c r="L11" s="864">
        <f t="shared" si="0"/>
        <v>0</v>
      </c>
      <c r="M11" s="896"/>
      <c r="N11" s="865">
        <f t="shared" si="3"/>
        <v>0</v>
      </c>
      <c r="O11" s="863">
        <f t="shared" si="4"/>
        <v>0</v>
      </c>
      <c r="P11" s="864">
        <f t="shared" si="1"/>
        <v>0</v>
      </c>
    </row>
    <row r="12" spans="2:16">
      <c r="B12" s="2077"/>
      <c r="C12" s="877" t="s">
        <v>1401</v>
      </c>
      <c r="D12" s="882">
        <f>結果!H46+結果!H60</f>
        <v>0</v>
      </c>
      <c r="E12" s="882">
        <f>結果!J46+結果!J60</f>
        <v>0</v>
      </c>
      <c r="F12" s="882">
        <f>結果!L46+結果!L60</f>
        <v>0</v>
      </c>
      <c r="G12" s="879">
        <f>結果!Q46</f>
        <v>0</v>
      </c>
      <c r="H12" s="894"/>
      <c r="I12" s="894"/>
      <c r="J12" s="862">
        <f>IF(D32&gt;=D33,D12,IF(E32&gt;=D33,E12,F12))</f>
        <v>0</v>
      </c>
      <c r="K12" s="862">
        <f t="shared" si="2"/>
        <v>0</v>
      </c>
      <c r="L12" s="864">
        <f t="shared" si="0"/>
        <v>0</v>
      </c>
      <c r="M12" s="896"/>
      <c r="N12" s="865">
        <f t="shared" si="3"/>
        <v>0</v>
      </c>
      <c r="O12" s="863">
        <f t="shared" si="4"/>
        <v>0</v>
      </c>
      <c r="P12" s="864">
        <f t="shared" si="1"/>
        <v>0</v>
      </c>
    </row>
    <row r="13" spans="2:16" ht="13.5" thickBot="1">
      <c r="B13" s="2077"/>
      <c r="C13" s="878" t="s">
        <v>1402</v>
      </c>
      <c r="D13" s="882">
        <f>結果!H47+結果!H61</f>
        <v>0</v>
      </c>
      <c r="E13" s="882">
        <f>結果!J47+結果!J61</f>
        <v>0</v>
      </c>
      <c r="F13" s="882">
        <f>結果!L47+結果!L61</f>
        <v>0</v>
      </c>
      <c r="G13" s="879">
        <f>結果!Q47</f>
        <v>0</v>
      </c>
      <c r="H13" s="894"/>
      <c r="I13" s="894"/>
      <c r="J13" s="868">
        <f>IF(D32&gt;=D33,D13,IF(E32&gt;=D33,E13,F13))</f>
        <v>0</v>
      </c>
      <c r="K13" s="862">
        <f t="shared" si="2"/>
        <v>0</v>
      </c>
      <c r="L13" s="870">
        <f t="shared" si="0"/>
        <v>0</v>
      </c>
      <c r="M13" s="896"/>
      <c r="N13" s="865">
        <f>G13</f>
        <v>0</v>
      </c>
      <c r="O13" s="863">
        <f t="shared" si="4"/>
        <v>0</v>
      </c>
      <c r="P13" s="870">
        <f t="shared" si="1"/>
        <v>0</v>
      </c>
    </row>
    <row r="14" spans="2:16" ht="13.5" customHeight="1" thickBot="1">
      <c r="B14" s="2095"/>
      <c r="C14" s="852" t="s">
        <v>1124</v>
      </c>
      <c r="D14" s="853">
        <f>SUM(D6:D13)</f>
        <v>0</v>
      </c>
      <c r="E14" s="853">
        <f t="shared" ref="E14:G14" si="5">SUM(E6:E13)</f>
        <v>0</v>
      </c>
      <c r="F14" s="853">
        <f t="shared" si="5"/>
        <v>0</v>
      </c>
      <c r="G14" s="854">
        <f t="shared" si="5"/>
        <v>0</v>
      </c>
      <c r="H14" s="894"/>
      <c r="I14" s="894"/>
      <c r="J14" s="874">
        <f>SUM(J6:J13)</f>
        <v>0</v>
      </c>
      <c r="K14" s="875"/>
      <c r="L14" s="876">
        <f>SUM(L6:L13)</f>
        <v>0</v>
      </c>
      <c r="M14" s="896"/>
      <c r="N14" s="874">
        <f>SUM(N6:N13)</f>
        <v>0</v>
      </c>
      <c r="O14" s="875"/>
      <c r="P14" s="876">
        <f>SUM(P6:P13)</f>
        <v>0</v>
      </c>
    </row>
    <row r="15" spans="2:16" ht="13.5" thickBot="1">
      <c r="B15" s="2088" t="s">
        <v>1128</v>
      </c>
      <c r="C15" s="898" t="str">
        <f>C6</f>
        <v>北</v>
      </c>
      <c r="D15" s="882">
        <f>結果!H80+結果!H94</f>
        <v>0</v>
      </c>
      <c r="E15" s="882">
        <f>結果!J80+結果!J94</f>
        <v>0</v>
      </c>
      <c r="F15" s="882">
        <f>結果!L80+結果!L94</f>
        <v>0</v>
      </c>
      <c r="G15" s="899">
        <f>結果!Q80</f>
        <v>0</v>
      </c>
      <c r="H15" s="1010"/>
      <c r="I15" s="1010"/>
      <c r="J15" s="894"/>
      <c r="K15" s="894"/>
      <c r="L15" s="894"/>
      <c r="M15" s="896"/>
      <c r="N15" s="896"/>
      <c r="O15" s="896"/>
      <c r="P15" s="897"/>
    </row>
    <row r="16" spans="2:16">
      <c r="B16" s="2077"/>
      <c r="C16" s="846" t="str">
        <f t="shared" ref="C16:C32" si="6">C7</f>
        <v>北東</v>
      </c>
      <c r="D16" s="847">
        <f>結果!H81+結果!H95</f>
        <v>0</v>
      </c>
      <c r="E16" s="847">
        <f>結果!J81+結果!J95</f>
        <v>0</v>
      </c>
      <c r="F16" s="847">
        <f>結果!L81+結果!L95</f>
        <v>0</v>
      </c>
      <c r="G16" s="848">
        <f>結果!Q81</f>
        <v>0</v>
      </c>
      <c r="H16" s="1010"/>
      <c r="I16" s="1010"/>
      <c r="J16" s="2084" t="s">
        <v>1125</v>
      </c>
      <c r="K16" s="2084" t="s">
        <v>1140</v>
      </c>
      <c r="L16" s="2084" t="s">
        <v>1126</v>
      </c>
      <c r="M16" s="896"/>
      <c r="N16" s="2084" t="s">
        <v>1127</v>
      </c>
      <c r="O16" s="2084" t="s">
        <v>1140</v>
      </c>
      <c r="P16" s="2084" t="s">
        <v>1390</v>
      </c>
    </row>
    <row r="17" spans="2:16">
      <c r="B17" s="2077"/>
      <c r="C17" s="846" t="str">
        <f t="shared" si="6"/>
        <v>東</v>
      </c>
      <c r="D17" s="847">
        <f>結果!H82+結果!H96</f>
        <v>0</v>
      </c>
      <c r="E17" s="847">
        <f>結果!J82+結果!J96</f>
        <v>0</v>
      </c>
      <c r="F17" s="847">
        <f>結果!L82+結果!L96</f>
        <v>0</v>
      </c>
      <c r="G17" s="848">
        <f>結果!Q82</f>
        <v>0</v>
      </c>
      <c r="H17" s="1010"/>
      <c r="I17" s="1010"/>
      <c r="J17" s="2085"/>
      <c r="K17" s="2085"/>
      <c r="L17" s="2085"/>
      <c r="M17" s="896"/>
      <c r="N17" s="2085"/>
      <c r="O17" s="2085"/>
      <c r="P17" s="2085"/>
    </row>
    <row r="18" spans="2:16">
      <c r="B18" s="2077"/>
      <c r="C18" s="846" t="str">
        <f t="shared" si="6"/>
        <v>南東</v>
      </c>
      <c r="D18" s="847">
        <f>結果!H83+結果!H97</f>
        <v>0</v>
      </c>
      <c r="E18" s="847">
        <f>結果!J83+結果!J97</f>
        <v>0</v>
      </c>
      <c r="F18" s="847">
        <f>結果!L83+結果!L97</f>
        <v>0</v>
      </c>
      <c r="G18" s="848">
        <f>結果!Q83</f>
        <v>0</v>
      </c>
      <c r="H18" s="1010"/>
      <c r="I18" s="1010"/>
      <c r="J18" s="2085"/>
      <c r="K18" s="2085"/>
      <c r="L18" s="2085"/>
      <c r="M18" s="896"/>
      <c r="N18" s="2085"/>
      <c r="O18" s="2085"/>
      <c r="P18" s="2085"/>
    </row>
    <row r="19" spans="2:16">
      <c r="B19" s="2077"/>
      <c r="C19" s="846" t="str">
        <f t="shared" si="6"/>
        <v>南</v>
      </c>
      <c r="D19" s="847">
        <f>結果!H84+結果!H98</f>
        <v>0</v>
      </c>
      <c r="E19" s="847">
        <f>結果!J84+結果!J98</f>
        <v>0</v>
      </c>
      <c r="F19" s="847">
        <f>結果!L84+結果!L98</f>
        <v>0</v>
      </c>
      <c r="G19" s="848">
        <f>結果!Q84</f>
        <v>0</v>
      </c>
      <c r="H19" s="1010"/>
      <c r="I19" s="1010"/>
      <c r="J19" s="2085"/>
      <c r="K19" s="2085"/>
      <c r="L19" s="2085"/>
      <c r="M19" s="896"/>
      <c r="N19" s="2085"/>
      <c r="O19" s="2085"/>
      <c r="P19" s="2085"/>
    </row>
    <row r="20" spans="2:16">
      <c r="B20" s="2077"/>
      <c r="C20" s="846" t="str">
        <f t="shared" si="6"/>
        <v>南西</v>
      </c>
      <c r="D20" s="847">
        <f>結果!H85+結果!H99</f>
        <v>0</v>
      </c>
      <c r="E20" s="847">
        <f>結果!J85+結果!J99</f>
        <v>0</v>
      </c>
      <c r="F20" s="847">
        <f>結果!L85+結果!L99</f>
        <v>0</v>
      </c>
      <c r="G20" s="848">
        <f>結果!Q85</f>
        <v>0</v>
      </c>
      <c r="H20" s="1010"/>
      <c r="I20" s="1010"/>
      <c r="J20" s="2085"/>
      <c r="K20" s="2085"/>
      <c r="L20" s="2085"/>
      <c r="M20" s="896"/>
      <c r="N20" s="2085"/>
      <c r="O20" s="2085"/>
      <c r="P20" s="2085"/>
    </row>
    <row r="21" spans="2:16">
      <c r="B21" s="2077"/>
      <c r="C21" s="846" t="str">
        <f t="shared" si="6"/>
        <v>西</v>
      </c>
      <c r="D21" s="847">
        <f>結果!H86+結果!H100</f>
        <v>0</v>
      </c>
      <c r="E21" s="847">
        <f>結果!J86+結果!J100</f>
        <v>0</v>
      </c>
      <c r="F21" s="847">
        <f>結果!L86+結果!L100</f>
        <v>0</v>
      </c>
      <c r="G21" s="848">
        <f>結果!Q86</f>
        <v>0</v>
      </c>
      <c r="H21" s="1010"/>
      <c r="I21" s="1010"/>
      <c r="J21" s="2085"/>
      <c r="K21" s="2085"/>
      <c r="L21" s="2085"/>
      <c r="M21" s="896"/>
      <c r="N21" s="2085"/>
      <c r="O21" s="2085"/>
      <c r="P21" s="2085"/>
    </row>
    <row r="22" spans="2:16" ht="13.5" thickBot="1">
      <c r="B22" s="2077"/>
      <c r="C22" s="849" t="str">
        <f t="shared" si="6"/>
        <v>北西</v>
      </c>
      <c r="D22" s="850">
        <f>結果!H87+結果!H101</f>
        <v>0</v>
      </c>
      <c r="E22" s="850">
        <f>結果!J87+結果!J101</f>
        <v>0</v>
      </c>
      <c r="F22" s="850">
        <f>結果!L87+結果!L101</f>
        <v>0</v>
      </c>
      <c r="G22" s="851">
        <f>結果!Q87</f>
        <v>0</v>
      </c>
      <c r="H22" s="1010"/>
      <c r="I22" s="1010"/>
      <c r="J22" s="2086"/>
      <c r="K22" s="2085"/>
      <c r="L22" s="2085"/>
      <c r="M22" s="896"/>
      <c r="N22" s="2085"/>
      <c r="O22" s="2085"/>
      <c r="P22" s="2085"/>
    </row>
    <row r="23" spans="2:16" ht="13.5" thickBot="1">
      <c r="B23" s="2079"/>
      <c r="C23" s="852" t="str">
        <f t="shared" si="6"/>
        <v>合計</v>
      </c>
      <c r="D23" s="853">
        <f>SUM(D15:D22)</f>
        <v>0</v>
      </c>
      <c r="E23" s="853">
        <f t="shared" ref="E23:G23" si="7">SUM(E15:E22)</f>
        <v>0</v>
      </c>
      <c r="F23" s="853">
        <f t="shared" si="7"/>
        <v>0</v>
      </c>
      <c r="G23" s="854">
        <f t="shared" si="7"/>
        <v>0</v>
      </c>
      <c r="H23" s="1010"/>
      <c r="I23" s="1010"/>
      <c r="J23" s="855" t="str">
        <f>IF(D32&gt;=D33,"９時",IF(E32&gt;=D33,"１２時","１５時"))</f>
        <v>９時</v>
      </c>
      <c r="K23" s="2087"/>
      <c r="L23" s="2087"/>
      <c r="M23" s="896"/>
      <c r="N23" s="999"/>
      <c r="O23" s="2087"/>
      <c r="P23" s="2087"/>
    </row>
    <row r="24" spans="2:16">
      <c r="B24" s="2076" t="s">
        <v>1129</v>
      </c>
      <c r="C24" s="856" t="str">
        <f>C15</f>
        <v>北</v>
      </c>
      <c r="D24" s="844">
        <f>D6-D15</f>
        <v>0</v>
      </c>
      <c r="E24" s="844">
        <f t="shared" ref="E24:G24" si="8">E6-E15</f>
        <v>0</v>
      </c>
      <c r="F24" s="844">
        <f t="shared" si="8"/>
        <v>0</v>
      </c>
      <c r="G24" s="845">
        <f t="shared" si="8"/>
        <v>0</v>
      </c>
      <c r="H24" s="1010"/>
      <c r="I24" s="1010"/>
      <c r="J24" s="857">
        <f>IF(D32&gt;=D33,D24,IF(E32&gt;=D33,E24,F24))</f>
        <v>0</v>
      </c>
      <c r="K24" s="901">
        <f>温度条件他根拠!E29</f>
        <v>0</v>
      </c>
      <c r="L24" s="859">
        <f>K24*J24</f>
        <v>0</v>
      </c>
      <c r="M24" s="896"/>
      <c r="N24" s="860">
        <f>G24</f>
        <v>0</v>
      </c>
      <c r="O24" s="858">
        <f>K24</f>
        <v>0</v>
      </c>
      <c r="P24" s="859">
        <f>O24*N24</f>
        <v>0</v>
      </c>
    </row>
    <row r="25" spans="2:16">
      <c r="B25" s="2077"/>
      <c r="C25" s="861" t="str">
        <f t="shared" si="6"/>
        <v>北東</v>
      </c>
      <c r="D25" s="847">
        <f t="shared" ref="D25:G31" si="9">D7-D16</f>
        <v>0</v>
      </c>
      <c r="E25" s="847">
        <f t="shared" si="9"/>
        <v>0</v>
      </c>
      <c r="F25" s="847">
        <f t="shared" si="9"/>
        <v>0</v>
      </c>
      <c r="G25" s="848">
        <f t="shared" si="9"/>
        <v>0</v>
      </c>
      <c r="H25" s="1010"/>
      <c r="I25" s="1010"/>
      <c r="J25" s="862">
        <f>IF(D32&gt;=D33,D25,IF(E32&gt;=D33,E25,F25))</f>
        <v>0</v>
      </c>
      <c r="K25" s="902">
        <f>K24</f>
        <v>0</v>
      </c>
      <c r="L25" s="864">
        <f t="shared" ref="L25:L31" si="10">K25*J25</f>
        <v>0</v>
      </c>
      <c r="M25" s="896"/>
      <c r="N25" s="865">
        <f>G25</f>
        <v>0</v>
      </c>
      <c r="O25" s="863">
        <f>K25</f>
        <v>0</v>
      </c>
      <c r="P25" s="864">
        <f t="shared" ref="P25:P31" si="11">O25*N25</f>
        <v>0</v>
      </c>
    </row>
    <row r="26" spans="2:16">
      <c r="B26" s="2077"/>
      <c r="C26" s="861" t="str">
        <f t="shared" si="6"/>
        <v>東</v>
      </c>
      <c r="D26" s="847">
        <f t="shared" si="9"/>
        <v>0</v>
      </c>
      <c r="E26" s="847">
        <f t="shared" si="9"/>
        <v>0</v>
      </c>
      <c r="F26" s="847">
        <f t="shared" si="9"/>
        <v>0</v>
      </c>
      <c r="G26" s="848">
        <f t="shared" si="9"/>
        <v>0</v>
      </c>
      <c r="H26" s="1010"/>
      <c r="I26" s="1010"/>
      <c r="J26" s="862">
        <f>IF(D32&gt;=D33,D26,IF(E32&gt;=D33,E26,F26))</f>
        <v>0</v>
      </c>
      <c r="K26" s="902">
        <f t="shared" ref="K26:K31" si="12">K25</f>
        <v>0</v>
      </c>
      <c r="L26" s="864">
        <f t="shared" si="10"/>
        <v>0</v>
      </c>
      <c r="M26" s="896"/>
      <c r="N26" s="865">
        <f t="shared" ref="N26:N31" si="13">G26</f>
        <v>0</v>
      </c>
      <c r="O26" s="863">
        <f t="shared" ref="O26:O31" si="14">K26</f>
        <v>0</v>
      </c>
      <c r="P26" s="864">
        <f t="shared" si="11"/>
        <v>0</v>
      </c>
    </row>
    <row r="27" spans="2:16">
      <c r="B27" s="2077"/>
      <c r="C27" s="861" t="str">
        <f t="shared" si="6"/>
        <v>南東</v>
      </c>
      <c r="D27" s="847">
        <f t="shared" si="9"/>
        <v>0</v>
      </c>
      <c r="E27" s="847">
        <f t="shared" si="9"/>
        <v>0</v>
      </c>
      <c r="F27" s="847">
        <f t="shared" si="9"/>
        <v>0</v>
      </c>
      <c r="G27" s="848">
        <f t="shared" si="9"/>
        <v>0</v>
      </c>
      <c r="H27" s="1010"/>
      <c r="I27" s="1010"/>
      <c r="J27" s="862">
        <f>IF(D32&gt;=D33,D27,IF(E32&gt;=D33,E27,F27))</f>
        <v>0</v>
      </c>
      <c r="K27" s="902">
        <f t="shared" si="12"/>
        <v>0</v>
      </c>
      <c r="L27" s="864">
        <f t="shared" si="10"/>
        <v>0</v>
      </c>
      <c r="M27" s="896"/>
      <c r="N27" s="865">
        <f t="shared" si="13"/>
        <v>0</v>
      </c>
      <c r="O27" s="863">
        <f t="shared" si="14"/>
        <v>0</v>
      </c>
      <c r="P27" s="864">
        <f t="shared" si="11"/>
        <v>0</v>
      </c>
    </row>
    <row r="28" spans="2:16">
      <c r="B28" s="2077"/>
      <c r="C28" s="861" t="str">
        <f t="shared" si="6"/>
        <v>南</v>
      </c>
      <c r="D28" s="847">
        <f t="shared" si="9"/>
        <v>0</v>
      </c>
      <c r="E28" s="847">
        <f t="shared" si="9"/>
        <v>0</v>
      </c>
      <c r="F28" s="847">
        <f t="shared" si="9"/>
        <v>0</v>
      </c>
      <c r="G28" s="848">
        <f t="shared" si="9"/>
        <v>0</v>
      </c>
      <c r="H28" s="1010"/>
      <c r="I28" s="1010"/>
      <c r="J28" s="862">
        <f>IF(D32&gt;=D33,D28,IF(E32&gt;=D33,E28,F28))</f>
        <v>0</v>
      </c>
      <c r="K28" s="902">
        <f t="shared" si="12"/>
        <v>0</v>
      </c>
      <c r="L28" s="864">
        <f t="shared" si="10"/>
        <v>0</v>
      </c>
      <c r="M28" s="896"/>
      <c r="N28" s="865">
        <f t="shared" si="13"/>
        <v>0</v>
      </c>
      <c r="O28" s="862">
        <f t="shared" si="14"/>
        <v>0</v>
      </c>
      <c r="P28" s="864">
        <f t="shared" si="11"/>
        <v>0</v>
      </c>
    </row>
    <row r="29" spans="2:16">
      <c r="B29" s="2077"/>
      <c r="C29" s="861" t="str">
        <f t="shared" si="6"/>
        <v>南西</v>
      </c>
      <c r="D29" s="847">
        <f t="shared" si="9"/>
        <v>0</v>
      </c>
      <c r="E29" s="847">
        <f t="shared" si="9"/>
        <v>0</v>
      </c>
      <c r="F29" s="847">
        <f t="shared" si="9"/>
        <v>0</v>
      </c>
      <c r="G29" s="848">
        <f t="shared" si="9"/>
        <v>0</v>
      </c>
      <c r="H29" s="1010"/>
      <c r="I29" s="1010"/>
      <c r="J29" s="862">
        <f>IF(D32&gt;=D33,D29,IF(E32&gt;=D33,E29,F29))</f>
        <v>0</v>
      </c>
      <c r="K29" s="902">
        <f t="shared" si="12"/>
        <v>0</v>
      </c>
      <c r="L29" s="864">
        <f t="shared" si="10"/>
        <v>0</v>
      </c>
      <c r="M29" s="896"/>
      <c r="N29" s="865">
        <f t="shared" si="13"/>
        <v>0</v>
      </c>
      <c r="O29" s="863">
        <f t="shared" si="14"/>
        <v>0</v>
      </c>
      <c r="P29" s="864">
        <f t="shared" si="11"/>
        <v>0</v>
      </c>
    </row>
    <row r="30" spans="2:16">
      <c r="B30" s="2077"/>
      <c r="C30" s="861" t="str">
        <f t="shared" si="6"/>
        <v>西</v>
      </c>
      <c r="D30" s="847">
        <f t="shared" si="9"/>
        <v>0</v>
      </c>
      <c r="E30" s="847">
        <f t="shared" si="9"/>
        <v>0</v>
      </c>
      <c r="F30" s="847">
        <f t="shared" si="9"/>
        <v>0</v>
      </c>
      <c r="G30" s="848">
        <f t="shared" si="9"/>
        <v>0</v>
      </c>
      <c r="H30" s="1010"/>
      <c r="I30" s="1010"/>
      <c r="J30" s="862">
        <f>IF(D32&gt;=D33,D30,IF(E32&gt;=D33,E30,F30))</f>
        <v>0</v>
      </c>
      <c r="K30" s="902">
        <f t="shared" si="12"/>
        <v>0</v>
      </c>
      <c r="L30" s="864">
        <f t="shared" si="10"/>
        <v>0</v>
      </c>
      <c r="M30" s="896"/>
      <c r="N30" s="865">
        <f t="shared" si="13"/>
        <v>0</v>
      </c>
      <c r="O30" s="863">
        <f t="shared" si="14"/>
        <v>0</v>
      </c>
      <c r="P30" s="864">
        <f t="shared" si="11"/>
        <v>0</v>
      </c>
    </row>
    <row r="31" spans="2:16" ht="13.5" thickBot="1">
      <c r="B31" s="2077"/>
      <c r="C31" s="867" t="str">
        <f t="shared" si="6"/>
        <v>北西</v>
      </c>
      <c r="D31" s="850">
        <f t="shared" si="9"/>
        <v>0</v>
      </c>
      <c r="E31" s="850">
        <f t="shared" si="9"/>
        <v>0</v>
      </c>
      <c r="F31" s="850">
        <f t="shared" si="9"/>
        <v>0</v>
      </c>
      <c r="G31" s="851">
        <f t="shared" si="9"/>
        <v>0</v>
      </c>
      <c r="H31" s="1010"/>
      <c r="I31" s="1010"/>
      <c r="J31" s="868">
        <f>IF(D32&gt;=D33,D31,IF(E32&gt;=D33,E31,F31))</f>
        <v>0</v>
      </c>
      <c r="K31" s="902">
        <f t="shared" si="12"/>
        <v>0</v>
      </c>
      <c r="L31" s="870">
        <f t="shared" si="10"/>
        <v>0</v>
      </c>
      <c r="M31" s="896"/>
      <c r="N31" s="865">
        <f t="shared" si="13"/>
        <v>0</v>
      </c>
      <c r="O31" s="863">
        <f t="shared" si="14"/>
        <v>0</v>
      </c>
      <c r="P31" s="870">
        <f t="shared" si="11"/>
        <v>0</v>
      </c>
    </row>
    <row r="32" spans="2:16" ht="13.5" thickBot="1">
      <c r="B32" s="2078"/>
      <c r="C32" s="871" t="str">
        <f t="shared" si="6"/>
        <v>合計</v>
      </c>
      <c r="D32" s="872">
        <f>SUM(D24:D31)</f>
        <v>0</v>
      </c>
      <c r="E32" s="872">
        <f t="shared" ref="E32:G32" si="15">SUM(E24:E31)</f>
        <v>0</v>
      </c>
      <c r="F32" s="872">
        <f t="shared" si="15"/>
        <v>0</v>
      </c>
      <c r="G32" s="873">
        <f t="shared" si="15"/>
        <v>0</v>
      </c>
      <c r="H32" s="1010"/>
      <c r="I32" s="1010"/>
      <c r="J32" s="874">
        <f>SUM(J24:J31)</f>
        <v>0</v>
      </c>
      <c r="K32" s="875"/>
      <c r="L32" s="876">
        <f>SUM(L24:L31)</f>
        <v>0</v>
      </c>
      <c r="M32" s="896"/>
      <c r="N32" s="874">
        <f>SUM(N24:N31)</f>
        <v>0</v>
      </c>
      <c r="O32" s="875"/>
      <c r="P32" s="876">
        <f>SUM(P24:P31)</f>
        <v>0</v>
      </c>
    </row>
    <row r="33" spans="2:30" ht="13.5" thickBot="1">
      <c r="B33" s="2079"/>
      <c r="C33" s="871" t="s">
        <v>1130</v>
      </c>
      <c r="D33" s="2081">
        <f>MAX(D32:F32)</f>
        <v>0</v>
      </c>
      <c r="E33" s="2082"/>
      <c r="F33" s="2083"/>
      <c r="G33" s="873">
        <f>G32</f>
        <v>0</v>
      </c>
      <c r="H33" s="894"/>
      <c r="I33" s="894"/>
      <c r="J33" s="894"/>
      <c r="K33" s="894"/>
      <c r="L33" s="894"/>
      <c r="M33" s="896"/>
      <c r="N33" s="896"/>
      <c r="O33" s="896"/>
      <c r="P33" s="897"/>
    </row>
    <row r="34" spans="2:30">
      <c r="B34" s="892"/>
      <c r="C34" s="892"/>
      <c r="D34" s="892"/>
      <c r="E34" s="892"/>
      <c r="F34" s="892"/>
      <c r="G34" s="892"/>
      <c r="H34" s="896"/>
      <c r="I34" s="896"/>
      <c r="J34" s="892"/>
      <c r="K34" s="892"/>
      <c r="L34" s="892"/>
      <c r="M34" s="892"/>
      <c r="N34" s="892"/>
      <c r="O34" s="892"/>
    </row>
    <row r="35" spans="2:30">
      <c r="B35" s="892"/>
      <c r="C35" s="892"/>
      <c r="D35" s="892"/>
      <c r="E35" s="892"/>
      <c r="F35" s="892"/>
      <c r="G35" s="892"/>
      <c r="H35" s="892"/>
      <c r="I35" s="892"/>
      <c r="J35" s="892"/>
      <c r="K35" s="892"/>
      <c r="L35" s="892"/>
      <c r="M35" s="892"/>
      <c r="N35" s="892"/>
      <c r="O35" s="892"/>
    </row>
    <row r="36" spans="2:30">
      <c r="B36" s="892"/>
      <c r="C36" s="892"/>
      <c r="D36" s="892"/>
      <c r="E36" s="892"/>
      <c r="F36" s="892"/>
      <c r="G36" s="892"/>
      <c r="H36" s="892"/>
      <c r="I36" s="892"/>
      <c r="J36" s="892"/>
      <c r="K36" s="892"/>
      <c r="L36" s="892"/>
      <c r="M36" s="892"/>
      <c r="N36" s="892"/>
      <c r="O36" s="892"/>
    </row>
    <row r="37" spans="2:30">
      <c r="B37" s="892"/>
      <c r="C37" s="892"/>
      <c r="D37" s="892"/>
      <c r="E37" s="892"/>
      <c r="F37" s="892"/>
      <c r="G37" s="892"/>
      <c r="H37" s="892"/>
      <c r="I37" s="892"/>
      <c r="J37" s="892"/>
      <c r="K37" s="892"/>
      <c r="L37" s="892"/>
      <c r="M37" s="892"/>
      <c r="N37" s="892"/>
      <c r="O37" s="892"/>
    </row>
    <row r="38" spans="2:30">
      <c r="B38" s="892"/>
      <c r="C38" s="892"/>
      <c r="D38" s="892"/>
      <c r="E38" s="892"/>
      <c r="F38" s="892"/>
      <c r="G38" s="892"/>
      <c r="H38" s="892"/>
      <c r="I38" s="892"/>
      <c r="J38" s="892"/>
      <c r="K38" s="892"/>
      <c r="L38" s="892"/>
      <c r="M38" s="892"/>
      <c r="N38" s="892"/>
      <c r="O38" s="892"/>
    </row>
    <row r="39" spans="2:30">
      <c r="B39" s="892"/>
      <c r="C39" s="892"/>
      <c r="D39" s="892"/>
      <c r="E39" s="892"/>
      <c r="F39" s="892"/>
      <c r="G39" s="892"/>
      <c r="H39" s="892"/>
      <c r="I39" s="892"/>
      <c r="J39" s="892"/>
      <c r="K39" s="892"/>
      <c r="L39" s="892"/>
      <c r="M39" s="892"/>
      <c r="N39" s="892"/>
      <c r="O39" s="892"/>
    </row>
    <row r="40" spans="2:30">
      <c r="B40" s="892"/>
      <c r="C40" s="892"/>
      <c r="D40" s="892"/>
      <c r="E40" s="892"/>
      <c r="F40" s="892"/>
      <c r="G40" s="892"/>
      <c r="H40" s="892"/>
      <c r="I40" s="892"/>
      <c r="J40" s="892"/>
      <c r="K40" s="892"/>
      <c r="L40" s="892"/>
      <c r="M40" s="892"/>
      <c r="N40" s="892"/>
      <c r="O40" s="892"/>
    </row>
    <row r="41" spans="2:30">
      <c r="B41" s="892"/>
      <c r="C41" s="892"/>
      <c r="D41" s="892"/>
      <c r="E41" s="892"/>
      <c r="F41" s="892"/>
      <c r="G41" s="892"/>
      <c r="H41" s="892"/>
      <c r="I41" s="892"/>
      <c r="J41" s="892"/>
      <c r="K41" s="892"/>
      <c r="L41" s="892"/>
      <c r="M41" s="892"/>
      <c r="N41" s="892"/>
      <c r="O41" s="892"/>
    </row>
    <row r="42" spans="2:30">
      <c r="B42" s="892"/>
      <c r="C42" s="892"/>
      <c r="D42" s="892"/>
      <c r="E42" s="892"/>
      <c r="F42" s="892"/>
      <c r="G42" s="892"/>
      <c r="H42" s="892"/>
      <c r="I42" s="892"/>
      <c r="J42" s="892"/>
      <c r="K42" s="892"/>
      <c r="L42" s="892"/>
      <c r="M42" s="892"/>
      <c r="N42" s="892"/>
      <c r="O42" s="892"/>
    </row>
    <row r="43" spans="2:30">
      <c r="B43" s="892"/>
      <c r="C43" s="892"/>
      <c r="D43" s="892"/>
      <c r="E43" s="892"/>
      <c r="F43" s="892"/>
      <c r="G43" s="892"/>
      <c r="H43" s="892"/>
      <c r="I43" s="892"/>
      <c r="J43" s="892"/>
      <c r="K43" s="892"/>
      <c r="L43" s="892"/>
      <c r="M43" s="892"/>
      <c r="N43" s="892"/>
      <c r="O43" s="892"/>
    </row>
    <row r="44" spans="2:30">
      <c r="B44" s="892"/>
      <c r="C44" s="892"/>
      <c r="D44" s="892"/>
      <c r="E44" s="892"/>
      <c r="F44" s="892"/>
      <c r="G44" s="892"/>
      <c r="H44" s="892"/>
      <c r="I44" s="892"/>
      <c r="J44" s="892"/>
      <c r="K44" s="892"/>
      <c r="L44" s="892"/>
      <c r="M44" s="892"/>
      <c r="N44" s="892"/>
      <c r="O44" s="892"/>
    </row>
    <row r="45" spans="2:30">
      <c r="B45" s="1129" t="s">
        <v>183</v>
      </c>
      <c r="C45" s="1129"/>
      <c r="D45" s="1129"/>
      <c r="E45" s="1129"/>
      <c r="F45" s="1129"/>
      <c r="G45" s="1129"/>
      <c r="H45" s="1129"/>
      <c r="I45" s="1129"/>
      <c r="J45" s="1129"/>
      <c r="K45" s="1129"/>
      <c r="L45" s="1129"/>
      <c r="M45" s="1129"/>
      <c r="N45" s="1129"/>
      <c r="O45" s="1129"/>
    </row>
    <row r="46" spans="2:30" ht="36">
      <c r="B46" s="554" t="s">
        <v>0</v>
      </c>
      <c r="C46" s="814" t="s">
        <v>1117</v>
      </c>
      <c r="D46" s="814" t="s">
        <v>1118</v>
      </c>
      <c r="E46" s="814" t="s">
        <v>1116</v>
      </c>
      <c r="F46" s="20" t="s">
        <v>42</v>
      </c>
      <c r="G46" s="20" t="s">
        <v>43</v>
      </c>
      <c r="H46" s="18" t="s">
        <v>35</v>
      </c>
      <c r="I46" s="18" t="s">
        <v>36</v>
      </c>
      <c r="J46" s="20" t="s">
        <v>2</v>
      </c>
      <c r="K46" s="20" t="s">
        <v>3</v>
      </c>
      <c r="L46" s="20" t="s">
        <v>39</v>
      </c>
      <c r="M46" s="20" t="s">
        <v>38</v>
      </c>
      <c r="N46" s="20" t="s">
        <v>37</v>
      </c>
      <c r="O46" s="20" t="s">
        <v>44</v>
      </c>
      <c r="Q46" s="554" t="s">
        <v>0</v>
      </c>
      <c r="R46" s="1017" t="s">
        <v>1391</v>
      </c>
      <c r="S46" s="1017" t="s">
        <v>1392</v>
      </c>
      <c r="T46" s="1017" t="s">
        <v>1116</v>
      </c>
      <c r="U46" s="20" t="s">
        <v>42</v>
      </c>
      <c r="V46" s="20" t="s">
        <v>43</v>
      </c>
      <c r="W46" s="18" t="s">
        <v>35</v>
      </c>
      <c r="X46" s="18" t="s">
        <v>36</v>
      </c>
      <c r="Y46" s="20" t="s">
        <v>2</v>
      </c>
      <c r="Z46" s="20" t="s">
        <v>3</v>
      </c>
      <c r="AA46" s="20" t="s">
        <v>39</v>
      </c>
      <c r="AB46" s="20" t="s">
        <v>38</v>
      </c>
      <c r="AC46" s="20" t="s">
        <v>37</v>
      </c>
      <c r="AD46" s="20" t="s">
        <v>44</v>
      </c>
    </row>
    <row r="47" spans="2:30" ht="36">
      <c r="B47" s="554" t="s">
        <v>14</v>
      </c>
      <c r="C47" s="20" t="s">
        <v>16</v>
      </c>
      <c r="D47" s="20" t="s">
        <v>17</v>
      </c>
      <c r="E47" s="704" t="s">
        <v>18</v>
      </c>
      <c r="F47" s="20" t="s">
        <v>19</v>
      </c>
      <c r="G47" s="20" t="s">
        <v>20</v>
      </c>
      <c r="H47" s="20" t="s">
        <v>30</v>
      </c>
      <c r="I47" s="20" t="s">
        <v>29</v>
      </c>
      <c r="J47" s="20" t="s">
        <v>21</v>
      </c>
      <c r="K47" s="20" t="s">
        <v>22</v>
      </c>
      <c r="L47" s="20" t="s">
        <v>608</v>
      </c>
      <c r="M47" s="20" t="s">
        <v>607</v>
      </c>
      <c r="N47" s="555" t="s">
        <v>25</v>
      </c>
      <c r="O47" s="20" t="s">
        <v>32</v>
      </c>
      <c r="Q47" s="554" t="s">
        <v>14</v>
      </c>
      <c r="R47" s="20" t="s">
        <v>16</v>
      </c>
      <c r="S47" s="20" t="s">
        <v>17</v>
      </c>
      <c r="T47" s="704" t="s">
        <v>18</v>
      </c>
      <c r="U47" s="20" t="s">
        <v>19</v>
      </c>
      <c r="V47" s="20" t="s">
        <v>20</v>
      </c>
      <c r="W47" s="20" t="s">
        <v>30</v>
      </c>
      <c r="X47" s="20" t="s">
        <v>29</v>
      </c>
      <c r="Y47" s="20" t="s">
        <v>21</v>
      </c>
      <c r="Z47" s="20" t="s">
        <v>22</v>
      </c>
      <c r="AA47" s="20" t="s">
        <v>608</v>
      </c>
      <c r="AB47" s="20" t="s">
        <v>607</v>
      </c>
      <c r="AC47" s="555" t="s">
        <v>25</v>
      </c>
      <c r="AD47" s="20" t="s">
        <v>32</v>
      </c>
    </row>
    <row r="48" spans="2:30">
      <c r="B48" s="553" t="s">
        <v>15</v>
      </c>
      <c r="C48" s="835" t="s">
        <v>1115</v>
      </c>
      <c r="D48" s="835" t="s">
        <v>1115</v>
      </c>
      <c r="E48" s="835" t="s">
        <v>172</v>
      </c>
      <c r="F48" s="5" t="s">
        <v>10</v>
      </c>
      <c r="G48" s="5" t="s">
        <v>10</v>
      </c>
      <c r="H48" s="5" t="s">
        <v>27</v>
      </c>
      <c r="I48" s="5" t="s">
        <v>27</v>
      </c>
      <c r="J48" s="5" t="s">
        <v>10</v>
      </c>
      <c r="K48" s="5" t="s">
        <v>10</v>
      </c>
      <c r="L48" s="5" t="s">
        <v>27</v>
      </c>
      <c r="M48" s="5" t="s">
        <v>27</v>
      </c>
      <c r="N48" s="5" t="s">
        <v>27</v>
      </c>
      <c r="O48" s="553" t="s">
        <v>31</v>
      </c>
      <c r="Q48" s="553" t="s">
        <v>15</v>
      </c>
      <c r="R48" s="835" t="s">
        <v>1115</v>
      </c>
      <c r="S48" s="835" t="s">
        <v>1115</v>
      </c>
      <c r="T48" s="835" t="s">
        <v>172</v>
      </c>
      <c r="U48" s="5" t="s">
        <v>10</v>
      </c>
      <c r="V48" s="5" t="s">
        <v>10</v>
      </c>
      <c r="W48" s="5" t="s">
        <v>27</v>
      </c>
      <c r="X48" s="5" t="s">
        <v>27</v>
      </c>
      <c r="Y48" s="5" t="s">
        <v>10</v>
      </c>
      <c r="Z48" s="5" t="s">
        <v>10</v>
      </c>
      <c r="AA48" s="5" t="s">
        <v>27</v>
      </c>
      <c r="AB48" s="5" t="s">
        <v>27</v>
      </c>
      <c r="AC48" s="5" t="s">
        <v>27</v>
      </c>
      <c r="AD48" s="553" t="s">
        <v>31</v>
      </c>
    </row>
    <row r="49" spans="2:30">
      <c r="B49" s="553">
        <v>1</v>
      </c>
      <c r="C49" s="3"/>
      <c r="D49" s="836">
        <f>P32</f>
        <v>0</v>
      </c>
      <c r="E49" s="837">
        <f>温度条件他根拠!E21</f>
        <v>0</v>
      </c>
      <c r="F49" s="838">
        <v>0</v>
      </c>
      <c r="G49" s="839">
        <f>0.8*(温度条件他根拠!$F$10-温度条件他根拠!F8)/(温度条件他根拠!$F$10-温度条件他根拠!$F$8)</f>
        <v>0.8</v>
      </c>
      <c r="H49" s="7">
        <f>$C$56*E49*F49/1000</f>
        <v>0</v>
      </c>
      <c r="I49" s="7">
        <f>G49*E49*$D$49/1000</f>
        <v>0</v>
      </c>
      <c r="J49" s="6">
        <f>温度条件他根拠!C61</f>
        <v>3.55</v>
      </c>
      <c r="K49" s="6">
        <f>温度条件他根拠!C62</f>
        <v>3.95</v>
      </c>
      <c r="L49" s="7">
        <f t="shared" ref="L49:M60" si="16">H49/J49</f>
        <v>0</v>
      </c>
      <c r="M49" s="7">
        <f t="shared" si="16"/>
        <v>0</v>
      </c>
      <c r="N49" s="13">
        <f>L49+M49</f>
        <v>0</v>
      </c>
      <c r="O49" s="12">
        <f>N49*0.495/1000</f>
        <v>0</v>
      </c>
      <c r="Q49" s="553">
        <v>1</v>
      </c>
      <c r="R49" s="3"/>
      <c r="S49" s="836">
        <f>P14</f>
        <v>0</v>
      </c>
      <c r="T49" s="837">
        <f>温度条件他根拠!E21</f>
        <v>0</v>
      </c>
      <c r="U49" s="838">
        <f>F49</f>
        <v>0</v>
      </c>
      <c r="V49" s="1001">
        <f>G49</f>
        <v>0.8</v>
      </c>
      <c r="W49" s="7">
        <f t="shared" ref="W49:W57" si="17">$R$56*T49*U49/1000</f>
        <v>0</v>
      </c>
      <c r="X49" s="7">
        <f t="shared" ref="X49:X57" si="18">V49*T49*$S$49/1000</f>
        <v>0</v>
      </c>
      <c r="Y49" s="6">
        <f>温度条件他根拠!C61</f>
        <v>3.55</v>
      </c>
      <c r="Z49" s="6">
        <f>温度条件他根拠!C62</f>
        <v>3.95</v>
      </c>
      <c r="AA49" s="7">
        <f t="shared" ref="AA49:AB60" si="19">W49/Y49</f>
        <v>0</v>
      </c>
      <c r="AB49" s="7">
        <f t="shared" si="19"/>
        <v>0</v>
      </c>
      <c r="AC49" s="13">
        <f>AA49+AB49</f>
        <v>0</v>
      </c>
      <c r="AD49" s="12">
        <f>AC49*0.495/1000</f>
        <v>0</v>
      </c>
    </row>
    <row r="50" spans="2:30">
      <c r="B50" s="553">
        <v>2</v>
      </c>
      <c r="C50" s="3"/>
      <c r="D50" s="3"/>
      <c r="E50" s="838">
        <f>E49</f>
        <v>0</v>
      </c>
      <c r="F50" s="838">
        <v>0</v>
      </c>
      <c r="G50" s="839">
        <f>0.8*(温度条件他根拠!$F$10--3.3)/(温度条件他根拠!$F$10-温度条件他根拠!$F$8)</f>
        <v>0.77024793388429758</v>
      </c>
      <c r="H50" s="7">
        <f t="shared" ref="H50:H60" si="20">$C$56*E50*F50/1000</f>
        <v>0</v>
      </c>
      <c r="I50" s="7">
        <f t="shared" ref="I50:I60" si="21">G50*E50*$D$49/1000</f>
        <v>0</v>
      </c>
      <c r="J50" s="2">
        <f>J49</f>
        <v>3.55</v>
      </c>
      <c r="K50" s="6">
        <f>K49</f>
        <v>3.95</v>
      </c>
      <c r="L50" s="7">
        <f t="shared" si="16"/>
        <v>0</v>
      </c>
      <c r="M50" s="7">
        <f t="shared" si="16"/>
        <v>0</v>
      </c>
      <c r="N50" s="13">
        <f t="shared" ref="N50:N60" si="22">L50+M50</f>
        <v>0</v>
      </c>
      <c r="O50" s="12">
        <f t="shared" ref="O50:O60" si="23">N50*0.495/1000</f>
        <v>0</v>
      </c>
      <c r="Q50" s="553">
        <v>2</v>
      </c>
      <c r="R50" s="3"/>
      <c r="S50" s="3"/>
      <c r="T50" s="838">
        <f>T49</f>
        <v>0</v>
      </c>
      <c r="U50" s="838">
        <f t="shared" ref="U50:V60" si="24">F50</f>
        <v>0</v>
      </c>
      <c r="V50" s="1001">
        <f t="shared" si="24"/>
        <v>0.77024793388429758</v>
      </c>
      <c r="W50" s="7">
        <f t="shared" si="17"/>
        <v>0</v>
      </c>
      <c r="X50" s="7">
        <f t="shared" si="18"/>
        <v>0</v>
      </c>
      <c r="Y50" s="2">
        <f>Y49</f>
        <v>3.55</v>
      </c>
      <c r="Z50" s="6">
        <f>Z49</f>
        <v>3.95</v>
      </c>
      <c r="AA50" s="7">
        <f t="shared" si="19"/>
        <v>0</v>
      </c>
      <c r="AB50" s="7">
        <f t="shared" si="19"/>
        <v>0</v>
      </c>
      <c r="AC50" s="13">
        <f t="shared" ref="AC50:AC60" si="25">AA50+AB50</f>
        <v>0</v>
      </c>
      <c r="AD50" s="12">
        <f t="shared" ref="AD50:AD60" si="26">AC50*0.495/1000</f>
        <v>0</v>
      </c>
    </row>
    <row r="51" spans="2:30">
      <c r="B51" s="553">
        <v>3</v>
      </c>
      <c r="C51" s="3"/>
      <c r="D51" s="3"/>
      <c r="E51" s="838">
        <f t="shared" ref="E51:E60" si="27">E50</f>
        <v>0</v>
      </c>
      <c r="F51" s="838">
        <v>0</v>
      </c>
      <c r="G51" s="839">
        <f>0.8*(温度条件他根拠!$F$10-0.2)/(温度条件他根拠!$F$10-温度条件他根拠!$F$8)</f>
        <v>0.65454545454545465</v>
      </c>
      <c r="H51" s="7">
        <f t="shared" si="20"/>
        <v>0</v>
      </c>
      <c r="I51" s="7">
        <f t="shared" si="21"/>
        <v>0</v>
      </c>
      <c r="J51" s="2">
        <f t="shared" ref="J51:K60" si="28">J50</f>
        <v>3.55</v>
      </c>
      <c r="K51" s="6">
        <f t="shared" si="28"/>
        <v>3.95</v>
      </c>
      <c r="L51" s="7">
        <f t="shared" si="16"/>
        <v>0</v>
      </c>
      <c r="M51" s="7">
        <f t="shared" si="16"/>
        <v>0</v>
      </c>
      <c r="N51" s="13">
        <f t="shared" si="22"/>
        <v>0</v>
      </c>
      <c r="O51" s="12">
        <f t="shared" si="23"/>
        <v>0</v>
      </c>
      <c r="Q51" s="553">
        <v>3</v>
      </c>
      <c r="R51" s="3"/>
      <c r="S51" s="3"/>
      <c r="T51" s="838">
        <f t="shared" ref="T51:T60" si="29">T50</f>
        <v>0</v>
      </c>
      <c r="U51" s="838">
        <f t="shared" si="24"/>
        <v>0</v>
      </c>
      <c r="V51" s="1001">
        <f t="shared" si="24"/>
        <v>0.65454545454545465</v>
      </c>
      <c r="W51" s="7">
        <f t="shared" si="17"/>
        <v>0</v>
      </c>
      <c r="X51" s="7">
        <f t="shared" si="18"/>
        <v>0</v>
      </c>
      <c r="Y51" s="2">
        <f t="shared" ref="Y51:Z60" si="30">Y50</f>
        <v>3.55</v>
      </c>
      <c r="Z51" s="6">
        <f t="shared" si="30"/>
        <v>3.95</v>
      </c>
      <c r="AA51" s="7">
        <f t="shared" si="19"/>
        <v>0</v>
      </c>
      <c r="AB51" s="7">
        <f t="shared" si="19"/>
        <v>0</v>
      </c>
      <c r="AC51" s="13">
        <f t="shared" si="25"/>
        <v>0</v>
      </c>
      <c r="AD51" s="12">
        <f t="shared" si="26"/>
        <v>0</v>
      </c>
    </row>
    <row r="52" spans="2:30">
      <c r="B52" s="553">
        <v>4</v>
      </c>
      <c r="C52" s="3"/>
      <c r="D52" s="3"/>
      <c r="E52" s="838">
        <f t="shared" si="27"/>
        <v>0</v>
      </c>
      <c r="F52" s="838">
        <v>0</v>
      </c>
      <c r="G52" s="839">
        <f>0.8*(温度条件他根拠!$F$10-5.8)/(温度条件他根拠!$F$10-温度条件他根拠!$F$8)</f>
        <v>0.46942148760330576</v>
      </c>
      <c r="H52" s="7">
        <f t="shared" si="20"/>
        <v>0</v>
      </c>
      <c r="I52" s="7">
        <f t="shared" si="21"/>
        <v>0</v>
      </c>
      <c r="J52" s="2">
        <f t="shared" si="28"/>
        <v>3.55</v>
      </c>
      <c r="K52" s="6">
        <f t="shared" si="28"/>
        <v>3.95</v>
      </c>
      <c r="L52" s="7">
        <f t="shared" si="16"/>
        <v>0</v>
      </c>
      <c r="M52" s="7">
        <f t="shared" si="16"/>
        <v>0</v>
      </c>
      <c r="N52" s="13">
        <f t="shared" si="22"/>
        <v>0</v>
      </c>
      <c r="O52" s="12">
        <f t="shared" si="23"/>
        <v>0</v>
      </c>
      <c r="Q52" s="553">
        <v>4</v>
      </c>
      <c r="R52" s="3"/>
      <c r="S52" s="3"/>
      <c r="T52" s="838">
        <f t="shared" si="29"/>
        <v>0</v>
      </c>
      <c r="U52" s="838">
        <f t="shared" si="24"/>
        <v>0</v>
      </c>
      <c r="V52" s="1001">
        <f t="shared" si="24"/>
        <v>0.46942148760330576</v>
      </c>
      <c r="W52" s="7">
        <f t="shared" si="17"/>
        <v>0</v>
      </c>
      <c r="X52" s="7">
        <f t="shared" si="18"/>
        <v>0</v>
      </c>
      <c r="Y52" s="2">
        <f t="shared" si="30"/>
        <v>3.55</v>
      </c>
      <c r="Z52" s="6">
        <f t="shared" si="30"/>
        <v>3.95</v>
      </c>
      <c r="AA52" s="7">
        <f t="shared" si="19"/>
        <v>0</v>
      </c>
      <c r="AB52" s="7">
        <f t="shared" si="19"/>
        <v>0</v>
      </c>
      <c r="AC52" s="13">
        <f t="shared" si="25"/>
        <v>0</v>
      </c>
      <c r="AD52" s="12">
        <f t="shared" si="26"/>
        <v>0</v>
      </c>
    </row>
    <row r="53" spans="2:30">
      <c r="B53" s="553">
        <v>5</v>
      </c>
      <c r="C53" s="3"/>
      <c r="D53" s="3"/>
      <c r="E53" s="838">
        <f t="shared" si="27"/>
        <v>0</v>
      </c>
      <c r="F53" s="839">
        <f>0.175*(温度条件他根拠!$F$7-温度条件他根拠!$F$9)/(温度条件他根拠!$F$7-23.1)</f>
        <v>6.2171052631578946E-2</v>
      </c>
      <c r="G53" s="839">
        <f>0.2*(温度条件他根拠!$F$10-11.2)/(温度条件他根拠!$F$10-温度条件他根拠!$F$8)</f>
        <v>7.2727272727272738E-2</v>
      </c>
      <c r="H53" s="836">
        <f>$C$56*E53*F53/1000</f>
        <v>0</v>
      </c>
      <c r="I53" s="836">
        <f>G53*E53*$D$49/1000</f>
        <v>0</v>
      </c>
      <c r="J53" s="2">
        <f t="shared" si="28"/>
        <v>3.55</v>
      </c>
      <c r="K53" s="6">
        <f t="shared" si="28"/>
        <v>3.95</v>
      </c>
      <c r="L53" s="7">
        <f t="shared" si="16"/>
        <v>0</v>
      </c>
      <c r="M53" s="7">
        <f t="shared" si="16"/>
        <v>0</v>
      </c>
      <c r="N53" s="13">
        <f t="shared" si="22"/>
        <v>0</v>
      </c>
      <c r="O53" s="12">
        <f t="shared" si="23"/>
        <v>0</v>
      </c>
      <c r="Q53" s="553">
        <v>5</v>
      </c>
      <c r="R53" s="3"/>
      <c r="S53" s="3"/>
      <c r="T53" s="838">
        <f t="shared" si="29"/>
        <v>0</v>
      </c>
      <c r="U53" s="1001">
        <f t="shared" si="24"/>
        <v>6.2171052631578946E-2</v>
      </c>
      <c r="V53" s="1001">
        <f t="shared" si="24"/>
        <v>7.2727272727272738E-2</v>
      </c>
      <c r="W53" s="836">
        <f t="shared" si="17"/>
        <v>0</v>
      </c>
      <c r="X53" s="836">
        <f t="shared" si="18"/>
        <v>0</v>
      </c>
      <c r="Y53" s="2">
        <f t="shared" si="30"/>
        <v>3.55</v>
      </c>
      <c r="Z53" s="6">
        <f t="shared" si="30"/>
        <v>3.95</v>
      </c>
      <c r="AA53" s="7">
        <f t="shared" si="19"/>
        <v>0</v>
      </c>
      <c r="AB53" s="7">
        <f t="shared" si="19"/>
        <v>0</v>
      </c>
      <c r="AC53" s="13">
        <f t="shared" si="25"/>
        <v>0</v>
      </c>
      <c r="AD53" s="12">
        <f t="shared" si="26"/>
        <v>0</v>
      </c>
    </row>
    <row r="54" spans="2:30">
      <c r="B54" s="553">
        <v>6</v>
      </c>
      <c r="C54" s="3"/>
      <c r="D54" s="3"/>
      <c r="E54" s="838">
        <f t="shared" si="27"/>
        <v>0</v>
      </c>
      <c r="F54" s="839">
        <f>0.7*(温度条件他根拠!$F$7-温度条件他根拠!$F$9)/(温度条件他根拠!$F$7-25.5)</f>
        <v>0.36346153846153839</v>
      </c>
      <c r="G54" s="838">
        <v>0</v>
      </c>
      <c r="H54" s="7">
        <f t="shared" si="20"/>
        <v>0</v>
      </c>
      <c r="I54" s="7">
        <f t="shared" si="21"/>
        <v>0</v>
      </c>
      <c r="J54" s="2">
        <f t="shared" si="28"/>
        <v>3.55</v>
      </c>
      <c r="K54" s="6">
        <f t="shared" si="28"/>
        <v>3.95</v>
      </c>
      <c r="L54" s="7">
        <f t="shared" si="16"/>
        <v>0</v>
      </c>
      <c r="M54" s="7">
        <f t="shared" si="16"/>
        <v>0</v>
      </c>
      <c r="N54" s="13">
        <f t="shared" si="22"/>
        <v>0</v>
      </c>
      <c r="O54" s="12">
        <f t="shared" si="23"/>
        <v>0</v>
      </c>
      <c r="Q54" s="553">
        <v>6</v>
      </c>
      <c r="R54" s="3"/>
      <c r="S54" s="3"/>
      <c r="T54" s="838">
        <f t="shared" si="29"/>
        <v>0</v>
      </c>
      <c r="U54" s="1001">
        <f t="shared" si="24"/>
        <v>0.36346153846153839</v>
      </c>
      <c r="V54" s="1009">
        <f t="shared" si="24"/>
        <v>0</v>
      </c>
      <c r="W54" s="7">
        <f t="shared" si="17"/>
        <v>0</v>
      </c>
      <c r="X54" s="7">
        <f t="shared" si="18"/>
        <v>0</v>
      </c>
      <c r="Y54" s="2">
        <f t="shared" si="30"/>
        <v>3.55</v>
      </c>
      <c r="Z54" s="6">
        <f t="shared" si="30"/>
        <v>3.95</v>
      </c>
      <c r="AA54" s="7">
        <f t="shared" si="19"/>
        <v>0</v>
      </c>
      <c r="AB54" s="7">
        <f t="shared" si="19"/>
        <v>0</v>
      </c>
      <c r="AC54" s="13">
        <f t="shared" si="25"/>
        <v>0</v>
      </c>
      <c r="AD54" s="12">
        <f t="shared" si="26"/>
        <v>0</v>
      </c>
    </row>
    <row r="55" spans="2:30">
      <c r="B55" s="553">
        <v>7</v>
      </c>
      <c r="C55" s="3"/>
      <c r="D55" s="3"/>
      <c r="E55" s="838">
        <f t="shared" si="27"/>
        <v>0</v>
      </c>
      <c r="F55" s="839">
        <f>0.7*(温度条件他根拠!$F$7-温度条件他根拠!$F$9)/(温度条件他根拠!$F$7-28)</f>
        <v>0.7</v>
      </c>
      <c r="G55" s="838">
        <v>0</v>
      </c>
      <c r="H55" s="7">
        <f t="shared" si="20"/>
        <v>0</v>
      </c>
      <c r="I55" s="7">
        <f t="shared" si="21"/>
        <v>0</v>
      </c>
      <c r="J55" s="2">
        <f t="shared" si="28"/>
        <v>3.55</v>
      </c>
      <c r="K55" s="6">
        <f t="shared" si="28"/>
        <v>3.95</v>
      </c>
      <c r="L55" s="7">
        <f t="shared" si="16"/>
        <v>0</v>
      </c>
      <c r="M55" s="7">
        <f t="shared" si="16"/>
        <v>0</v>
      </c>
      <c r="N55" s="13">
        <f t="shared" si="22"/>
        <v>0</v>
      </c>
      <c r="O55" s="12">
        <f t="shared" si="23"/>
        <v>0</v>
      </c>
      <c r="Q55" s="553">
        <v>7</v>
      </c>
      <c r="R55" s="3"/>
      <c r="S55" s="3"/>
      <c r="T55" s="838">
        <f t="shared" si="29"/>
        <v>0</v>
      </c>
      <c r="U55" s="1001">
        <f t="shared" si="24"/>
        <v>0.7</v>
      </c>
      <c r="V55" s="1009">
        <f t="shared" si="24"/>
        <v>0</v>
      </c>
      <c r="W55" s="7">
        <f t="shared" si="17"/>
        <v>0</v>
      </c>
      <c r="X55" s="7">
        <f t="shared" si="18"/>
        <v>0</v>
      </c>
      <c r="Y55" s="2">
        <f t="shared" si="30"/>
        <v>3.55</v>
      </c>
      <c r="Z55" s="6">
        <f t="shared" si="30"/>
        <v>3.95</v>
      </c>
      <c r="AA55" s="7">
        <f t="shared" si="19"/>
        <v>0</v>
      </c>
      <c r="AB55" s="7">
        <f t="shared" si="19"/>
        <v>0</v>
      </c>
      <c r="AC55" s="13">
        <f t="shared" si="25"/>
        <v>0</v>
      </c>
      <c r="AD55" s="12">
        <f t="shared" si="26"/>
        <v>0</v>
      </c>
    </row>
    <row r="56" spans="2:30">
      <c r="B56" s="553">
        <v>8</v>
      </c>
      <c r="C56" s="836">
        <f>L32</f>
        <v>0</v>
      </c>
      <c r="D56" s="3"/>
      <c r="E56" s="838">
        <f t="shared" si="27"/>
        <v>0</v>
      </c>
      <c r="F56" s="839">
        <f>0.7*(温度条件他根拠!$F$7-温度条件他根拠!$F$9)/(温度条件他根拠!$F$7-28)</f>
        <v>0.7</v>
      </c>
      <c r="G56" s="838">
        <v>0</v>
      </c>
      <c r="H56" s="7">
        <f t="shared" si="20"/>
        <v>0</v>
      </c>
      <c r="I56" s="7">
        <f t="shared" si="21"/>
        <v>0</v>
      </c>
      <c r="J56" s="2">
        <f t="shared" si="28"/>
        <v>3.55</v>
      </c>
      <c r="K56" s="6">
        <f t="shared" si="28"/>
        <v>3.95</v>
      </c>
      <c r="L56" s="7">
        <f t="shared" si="16"/>
        <v>0</v>
      </c>
      <c r="M56" s="7">
        <f t="shared" si="16"/>
        <v>0</v>
      </c>
      <c r="N56" s="13">
        <f t="shared" si="22"/>
        <v>0</v>
      </c>
      <c r="O56" s="12">
        <f t="shared" si="23"/>
        <v>0</v>
      </c>
      <c r="Q56" s="553">
        <v>8</v>
      </c>
      <c r="R56" s="836">
        <f>L14</f>
        <v>0</v>
      </c>
      <c r="S56" s="3"/>
      <c r="T56" s="838">
        <f t="shared" si="29"/>
        <v>0</v>
      </c>
      <c r="U56" s="1001">
        <f t="shared" si="24"/>
        <v>0.7</v>
      </c>
      <c r="V56" s="1009">
        <f t="shared" si="24"/>
        <v>0</v>
      </c>
      <c r="W56" s="7">
        <f t="shared" si="17"/>
        <v>0</v>
      </c>
      <c r="X56" s="7">
        <f t="shared" si="18"/>
        <v>0</v>
      </c>
      <c r="Y56" s="2">
        <f t="shared" si="30"/>
        <v>3.55</v>
      </c>
      <c r="Z56" s="6">
        <f t="shared" si="30"/>
        <v>3.95</v>
      </c>
      <c r="AA56" s="7">
        <f t="shared" si="19"/>
        <v>0</v>
      </c>
      <c r="AB56" s="7">
        <f t="shared" si="19"/>
        <v>0</v>
      </c>
      <c r="AC56" s="13">
        <f t="shared" si="25"/>
        <v>0</v>
      </c>
      <c r="AD56" s="12">
        <f t="shared" si="26"/>
        <v>0</v>
      </c>
    </row>
    <row r="57" spans="2:30">
      <c r="B57" s="553">
        <v>9</v>
      </c>
      <c r="C57" s="3"/>
      <c r="D57" s="3"/>
      <c r="E57" s="838">
        <f t="shared" si="27"/>
        <v>0</v>
      </c>
      <c r="F57" s="839">
        <f>0.7*(温度条件他根拠!$F$7-温度条件他根拠!$F$9)/(温度条件他根拠!$F$7-25.9)</f>
        <v>0.39374999999999982</v>
      </c>
      <c r="G57" s="838">
        <v>0</v>
      </c>
      <c r="H57" s="7">
        <f t="shared" si="20"/>
        <v>0</v>
      </c>
      <c r="I57" s="7">
        <f t="shared" si="21"/>
        <v>0</v>
      </c>
      <c r="J57" s="2">
        <f t="shared" si="28"/>
        <v>3.55</v>
      </c>
      <c r="K57" s="6">
        <f t="shared" si="28"/>
        <v>3.95</v>
      </c>
      <c r="L57" s="7">
        <f t="shared" si="16"/>
        <v>0</v>
      </c>
      <c r="M57" s="7">
        <f t="shared" si="16"/>
        <v>0</v>
      </c>
      <c r="N57" s="13">
        <f t="shared" si="22"/>
        <v>0</v>
      </c>
      <c r="O57" s="12">
        <f t="shared" si="23"/>
        <v>0</v>
      </c>
      <c r="Q57" s="553">
        <v>9</v>
      </c>
      <c r="R57" s="3"/>
      <c r="S57" s="3"/>
      <c r="T57" s="838">
        <f t="shared" si="29"/>
        <v>0</v>
      </c>
      <c r="U57" s="1001">
        <f t="shared" si="24"/>
        <v>0.39374999999999982</v>
      </c>
      <c r="V57" s="1009">
        <f t="shared" si="24"/>
        <v>0</v>
      </c>
      <c r="W57" s="7">
        <f t="shared" si="17"/>
        <v>0</v>
      </c>
      <c r="X57" s="7">
        <f t="shared" si="18"/>
        <v>0</v>
      </c>
      <c r="Y57" s="2">
        <f t="shared" si="30"/>
        <v>3.55</v>
      </c>
      <c r="Z57" s="6">
        <f t="shared" si="30"/>
        <v>3.95</v>
      </c>
      <c r="AA57" s="7">
        <f t="shared" si="19"/>
        <v>0</v>
      </c>
      <c r="AB57" s="7">
        <f t="shared" si="19"/>
        <v>0</v>
      </c>
      <c r="AC57" s="13">
        <f t="shared" si="25"/>
        <v>0</v>
      </c>
      <c r="AD57" s="12">
        <f t="shared" si="26"/>
        <v>0</v>
      </c>
    </row>
    <row r="58" spans="2:30">
      <c r="B58" s="553">
        <v>10</v>
      </c>
      <c r="C58" s="3"/>
      <c r="D58" s="3"/>
      <c r="E58" s="838">
        <f t="shared" si="27"/>
        <v>0</v>
      </c>
      <c r="F58" s="839">
        <f>0.175*(温度条件他根拠!$F$7-温度条件他根拠!$F$9)/(温度条件他根拠!$F$7-20.5)</f>
        <v>4.6323529411764694E-2</v>
      </c>
      <c r="G58" s="839">
        <f>0.2*(温度条件他根拠!$F$10-10.5)/(温度条件他根拠!$F$10-温度条件他根拠!$F$8)</f>
        <v>7.8512396694214878E-2</v>
      </c>
      <c r="H58" s="836">
        <f>$C$56*E58*F58/1000</f>
        <v>0</v>
      </c>
      <c r="I58" s="836">
        <f>G58*E58*$D$49/1000</f>
        <v>0</v>
      </c>
      <c r="J58" s="2">
        <f t="shared" si="28"/>
        <v>3.55</v>
      </c>
      <c r="K58" s="6">
        <f t="shared" si="28"/>
        <v>3.95</v>
      </c>
      <c r="L58" s="7">
        <f t="shared" si="16"/>
        <v>0</v>
      </c>
      <c r="M58" s="7">
        <f t="shared" si="16"/>
        <v>0</v>
      </c>
      <c r="N58" s="13">
        <f t="shared" si="22"/>
        <v>0</v>
      </c>
      <c r="O58" s="12">
        <f t="shared" si="23"/>
        <v>0</v>
      </c>
      <c r="Q58" s="553">
        <v>10</v>
      </c>
      <c r="R58" s="3"/>
      <c r="S58" s="3"/>
      <c r="T58" s="838">
        <f t="shared" si="29"/>
        <v>0</v>
      </c>
      <c r="U58" s="1001">
        <f t="shared" si="24"/>
        <v>4.6323529411764694E-2</v>
      </c>
      <c r="V58" s="1001">
        <f t="shared" si="24"/>
        <v>7.8512396694214878E-2</v>
      </c>
      <c r="W58" s="836">
        <f>($R$56*T58*U58/1000)</f>
        <v>0</v>
      </c>
      <c r="X58" s="836">
        <f>(V58*T58*$S$49/1000)</f>
        <v>0</v>
      </c>
      <c r="Y58" s="2">
        <f t="shared" si="30"/>
        <v>3.55</v>
      </c>
      <c r="Z58" s="6">
        <f t="shared" si="30"/>
        <v>3.95</v>
      </c>
      <c r="AA58" s="7">
        <f t="shared" si="19"/>
        <v>0</v>
      </c>
      <c r="AB58" s="7">
        <f t="shared" si="19"/>
        <v>0</v>
      </c>
      <c r="AC58" s="13">
        <f t="shared" si="25"/>
        <v>0</v>
      </c>
      <c r="AD58" s="12">
        <f t="shared" si="26"/>
        <v>0</v>
      </c>
    </row>
    <row r="59" spans="2:30">
      <c r="B59" s="553">
        <v>11</v>
      </c>
      <c r="C59" s="3"/>
      <c r="D59" s="3"/>
      <c r="E59" s="838">
        <f t="shared" si="27"/>
        <v>0</v>
      </c>
      <c r="F59" s="838">
        <v>0</v>
      </c>
      <c r="G59" s="839">
        <f>0.8*(温度条件他根拠!$F$10-3.5)/(温度条件他根拠!$F$10-温度条件他根拠!$F$8)</f>
        <v>0.54545454545454553</v>
      </c>
      <c r="H59" s="7">
        <f t="shared" si="20"/>
        <v>0</v>
      </c>
      <c r="I59" s="7">
        <f t="shared" si="21"/>
        <v>0</v>
      </c>
      <c r="J59" s="2">
        <f t="shared" si="28"/>
        <v>3.55</v>
      </c>
      <c r="K59" s="6">
        <f t="shared" si="28"/>
        <v>3.95</v>
      </c>
      <c r="L59" s="7">
        <f t="shared" si="16"/>
        <v>0</v>
      </c>
      <c r="M59" s="7">
        <f t="shared" si="16"/>
        <v>0</v>
      </c>
      <c r="N59" s="13">
        <f t="shared" si="22"/>
        <v>0</v>
      </c>
      <c r="O59" s="12">
        <f t="shared" si="23"/>
        <v>0</v>
      </c>
      <c r="Q59" s="553">
        <v>11</v>
      </c>
      <c r="R59" s="3"/>
      <c r="S59" s="3"/>
      <c r="T59" s="838">
        <f t="shared" si="29"/>
        <v>0</v>
      </c>
      <c r="U59" s="838">
        <f t="shared" si="24"/>
        <v>0</v>
      </c>
      <c r="V59" s="1001">
        <f t="shared" si="24"/>
        <v>0.54545454545454553</v>
      </c>
      <c r="W59" s="7">
        <f>$R$56*T59*U59/1000</f>
        <v>0</v>
      </c>
      <c r="X59" s="7">
        <f>V59*T59*$S$49/1000</f>
        <v>0</v>
      </c>
      <c r="Y59" s="2">
        <f t="shared" si="30"/>
        <v>3.55</v>
      </c>
      <c r="Z59" s="6">
        <f t="shared" si="30"/>
        <v>3.95</v>
      </c>
      <c r="AA59" s="7">
        <f t="shared" si="19"/>
        <v>0</v>
      </c>
      <c r="AB59" s="7">
        <f t="shared" si="19"/>
        <v>0</v>
      </c>
      <c r="AC59" s="13">
        <f t="shared" si="25"/>
        <v>0</v>
      </c>
      <c r="AD59" s="12">
        <f t="shared" si="26"/>
        <v>0</v>
      </c>
    </row>
    <row r="60" spans="2:30">
      <c r="B60" s="553">
        <v>12</v>
      </c>
      <c r="C60" s="3"/>
      <c r="D60" s="3"/>
      <c r="E60" s="838">
        <f t="shared" si="27"/>
        <v>0</v>
      </c>
      <c r="F60" s="838">
        <v>0</v>
      </c>
      <c r="G60" s="839">
        <f>0.8*(温度条件他根拠!$F$10--0.2)/(温度条件他根拠!$F$10-温度条件他根拠!$F$8)</f>
        <v>0.66776859504132235</v>
      </c>
      <c r="H60" s="7">
        <f t="shared" si="20"/>
        <v>0</v>
      </c>
      <c r="I60" s="7">
        <f t="shared" si="21"/>
        <v>0</v>
      </c>
      <c r="J60" s="2">
        <f t="shared" si="28"/>
        <v>3.55</v>
      </c>
      <c r="K60" s="6">
        <f t="shared" si="28"/>
        <v>3.95</v>
      </c>
      <c r="L60" s="7">
        <f t="shared" si="16"/>
        <v>0</v>
      </c>
      <c r="M60" s="7">
        <f t="shared" si="16"/>
        <v>0</v>
      </c>
      <c r="N60" s="13">
        <f t="shared" si="22"/>
        <v>0</v>
      </c>
      <c r="O60" s="12">
        <f t="shared" si="23"/>
        <v>0</v>
      </c>
      <c r="Q60" s="553">
        <v>12</v>
      </c>
      <c r="R60" s="3"/>
      <c r="S60" s="3"/>
      <c r="T60" s="838">
        <f t="shared" si="29"/>
        <v>0</v>
      </c>
      <c r="U60" s="838">
        <f t="shared" si="24"/>
        <v>0</v>
      </c>
      <c r="V60" s="1001">
        <f t="shared" si="24"/>
        <v>0.66776859504132235</v>
      </c>
      <c r="W60" s="7">
        <f>$R$56*T60*U60/1000</f>
        <v>0</v>
      </c>
      <c r="X60" s="7">
        <f>V60*T60*$S$49/1000</f>
        <v>0</v>
      </c>
      <c r="Y60" s="2">
        <f t="shared" si="30"/>
        <v>3.55</v>
      </c>
      <c r="Z60" s="6">
        <f t="shared" si="30"/>
        <v>3.95</v>
      </c>
      <c r="AA60" s="7">
        <f t="shared" si="19"/>
        <v>0</v>
      </c>
      <c r="AB60" s="7">
        <f t="shared" si="19"/>
        <v>0</v>
      </c>
      <c r="AC60" s="13">
        <f t="shared" si="25"/>
        <v>0</v>
      </c>
      <c r="AD60" s="12">
        <f t="shared" si="26"/>
        <v>0</v>
      </c>
    </row>
    <row r="61" spans="2:30">
      <c r="B61" s="2" t="s">
        <v>1</v>
      </c>
      <c r="C61" s="3"/>
      <c r="D61" s="3"/>
      <c r="E61" s="836">
        <f>SUM(E49:E60)</f>
        <v>0</v>
      </c>
      <c r="F61" s="3"/>
      <c r="G61" s="3"/>
      <c r="H61" s="7">
        <f>SUM(H49:H60)</f>
        <v>0</v>
      </c>
      <c r="I61" s="7">
        <f>SUM(I49:I60)</f>
        <v>0</v>
      </c>
      <c r="J61" s="3"/>
      <c r="K61" s="3"/>
      <c r="L61" s="7">
        <f>SUM(L49:L60)</f>
        <v>0</v>
      </c>
      <c r="M61" s="7">
        <f>SUM(M49:M60)</f>
        <v>0</v>
      </c>
      <c r="N61" s="13">
        <f>SUM(N49:N60)</f>
        <v>0</v>
      </c>
      <c r="O61" s="17">
        <f>SUM(O49:O60)</f>
        <v>0</v>
      </c>
      <c r="Q61" s="2" t="s">
        <v>1</v>
      </c>
      <c r="R61" s="3"/>
      <c r="S61" s="3"/>
      <c r="T61" s="836">
        <f>SUM(T49:T60)</f>
        <v>0</v>
      </c>
      <c r="U61" s="3"/>
      <c r="V61" s="3"/>
      <c r="W61" s="7">
        <f>SUM(W49:W60)</f>
        <v>0</v>
      </c>
      <c r="X61" s="7">
        <f>SUM(X49:X60)</f>
        <v>0</v>
      </c>
      <c r="Y61" s="3"/>
      <c r="Z61" s="3"/>
      <c r="AA61" s="7">
        <f>SUM(AA49:AA60)</f>
        <v>0</v>
      </c>
      <c r="AB61" s="7">
        <f>SUM(AB49:AB60)</f>
        <v>0</v>
      </c>
      <c r="AC61" s="13">
        <f>SUM(AC49:AC60)</f>
        <v>0</v>
      </c>
      <c r="AD61" s="17">
        <f>SUM(AD49:AD60)</f>
        <v>0</v>
      </c>
    </row>
    <row r="63" spans="2:30">
      <c r="B63" s="8" t="s">
        <v>23</v>
      </c>
      <c r="C63" s="9"/>
      <c r="D63" s="9"/>
      <c r="E63" s="10">
        <f>L61+M61</f>
        <v>0</v>
      </c>
      <c r="F63" s="9" t="s">
        <v>13</v>
      </c>
      <c r="G63" s="8" t="s">
        <v>24</v>
      </c>
      <c r="H63" s="11"/>
      <c r="Q63" s="8" t="s">
        <v>572</v>
      </c>
      <c r="R63" s="9"/>
      <c r="S63" s="9"/>
      <c r="T63" s="10">
        <f>AA61+AB61</f>
        <v>0</v>
      </c>
      <c r="U63" s="9" t="s">
        <v>13</v>
      </c>
      <c r="V63" s="8" t="s">
        <v>24</v>
      </c>
      <c r="W63" s="11"/>
      <c r="Y63" s="8" t="s">
        <v>574</v>
      </c>
      <c r="Z63" s="9"/>
      <c r="AA63" s="9"/>
      <c r="AB63" s="290">
        <f>T63-E63</f>
        <v>0</v>
      </c>
      <c r="AC63" s="11" t="s">
        <v>13</v>
      </c>
    </row>
    <row r="64" spans="2:30">
      <c r="B64" s="8" t="s">
        <v>28</v>
      </c>
      <c r="C64" s="9"/>
      <c r="D64" s="9"/>
      <c r="E64" s="16">
        <f>E63*0.495/1000</f>
        <v>0</v>
      </c>
      <c r="F64" s="9" t="s">
        <v>7</v>
      </c>
      <c r="G64" s="8" t="s">
        <v>33</v>
      </c>
      <c r="H64" s="11"/>
      <c r="Q64" s="8" t="s">
        <v>573</v>
      </c>
      <c r="R64" s="9"/>
      <c r="S64" s="9"/>
      <c r="T64" s="16">
        <f>T63*0.495/1000</f>
        <v>0</v>
      </c>
      <c r="U64" s="9" t="s">
        <v>7</v>
      </c>
      <c r="V64" s="8" t="s">
        <v>33</v>
      </c>
      <c r="W64" s="11"/>
      <c r="Y64" s="8" t="s">
        <v>575</v>
      </c>
      <c r="Z64" s="9"/>
      <c r="AA64" s="9"/>
      <c r="AB64" s="290">
        <f>T64-E64</f>
        <v>0</v>
      </c>
      <c r="AC64" s="11" t="s">
        <v>7</v>
      </c>
    </row>
    <row r="85" spans="2:3">
      <c r="B85" s="1" t="s">
        <v>1079</v>
      </c>
    </row>
    <row r="86" spans="2:3">
      <c r="B86" s="691">
        <v>43927</v>
      </c>
      <c r="C86" s="900" t="s">
        <v>865</v>
      </c>
    </row>
    <row r="87" spans="2:3">
      <c r="B87" s="691">
        <v>43927</v>
      </c>
      <c r="C87" s="690" t="s">
        <v>866</v>
      </c>
    </row>
    <row r="88" spans="2:3">
      <c r="B88" s="691">
        <v>44634</v>
      </c>
      <c r="C88" s="690" t="s">
        <v>1119</v>
      </c>
    </row>
    <row r="89" spans="2:3">
      <c r="C89" s="690" t="s">
        <v>1120</v>
      </c>
    </row>
    <row r="90" spans="2:3">
      <c r="C90" s="1" t="s">
        <v>1121</v>
      </c>
    </row>
    <row r="91" spans="2:3">
      <c r="C91" s="1" t="s">
        <v>1133</v>
      </c>
    </row>
    <row r="92" spans="2:3">
      <c r="C92" s="1" t="s">
        <v>1134</v>
      </c>
    </row>
  </sheetData>
  <mergeCells count="21">
    <mergeCell ref="B2:O2"/>
    <mergeCell ref="P3:P5"/>
    <mergeCell ref="K16:K23"/>
    <mergeCell ref="L16:L23"/>
    <mergeCell ref="N16:N22"/>
    <mergeCell ref="O16:O23"/>
    <mergeCell ref="P16:P23"/>
    <mergeCell ref="B45:O45"/>
    <mergeCell ref="B4:C5"/>
    <mergeCell ref="D4:F4"/>
    <mergeCell ref="G4:G5"/>
    <mergeCell ref="B6:B14"/>
    <mergeCell ref="J3:J5"/>
    <mergeCell ref="K3:K5"/>
    <mergeCell ref="L3:L5"/>
    <mergeCell ref="N3:N5"/>
    <mergeCell ref="O3:O5"/>
    <mergeCell ref="J16:J22"/>
    <mergeCell ref="B15:B23"/>
    <mergeCell ref="B24:B33"/>
    <mergeCell ref="D33:F33"/>
  </mergeCells>
  <phoneticPr fontId="2"/>
  <pageMargins left="0" right="0" top="0.55118110236220474" bottom="0.15748031496062992" header="0.11811023622047245" footer="0"/>
  <pageSetup paperSize="9" orientation="landscape" r:id="rId1"/>
  <ignoredErrors>
    <ignoredError sqref="W58:X58" formula="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9"/>
  <dimension ref="B2:I28"/>
  <sheetViews>
    <sheetView topLeftCell="A16" workbookViewId="0">
      <selection activeCell="C67" sqref="C67"/>
    </sheetView>
  </sheetViews>
  <sheetFormatPr defaultColWidth="9" defaultRowHeight="13"/>
  <cols>
    <col min="1" max="1" width="3.7265625" style="1" customWidth="1"/>
    <col min="2" max="2" width="9" style="1"/>
    <col min="3" max="3" width="10.453125" style="1" customWidth="1"/>
    <col min="4" max="7" width="9" style="1"/>
    <col min="8" max="8" width="3.08984375" style="1" customWidth="1"/>
    <col min="9" max="15" width="9" style="1"/>
    <col min="16" max="16" width="7.08984375" style="1" customWidth="1"/>
    <col min="17" max="16384" width="9" style="1"/>
  </cols>
  <sheetData>
    <row r="2" spans="2:9">
      <c r="B2" s="1" t="s">
        <v>365</v>
      </c>
    </row>
    <row r="4" spans="2:9" ht="13.5" thickBot="1">
      <c r="B4" s="81" t="s">
        <v>407</v>
      </c>
      <c r="C4" s="81" t="s">
        <v>366</v>
      </c>
    </row>
    <row r="5" spans="2:9">
      <c r="B5" s="2"/>
      <c r="C5" s="4">
        <v>2014</v>
      </c>
      <c r="D5" s="4">
        <v>2015</v>
      </c>
      <c r="E5" s="4">
        <v>2016</v>
      </c>
      <c r="F5" s="47">
        <v>2017</v>
      </c>
      <c r="G5" s="277">
        <v>2018</v>
      </c>
      <c r="I5" s="4" t="s">
        <v>367</v>
      </c>
    </row>
    <row r="6" spans="2:9">
      <c r="B6" s="4" t="s">
        <v>368</v>
      </c>
      <c r="C6" s="7">
        <v>49885</v>
      </c>
      <c r="D6" s="7">
        <v>53825</v>
      </c>
      <c r="E6" s="7">
        <v>42756</v>
      </c>
      <c r="F6" s="264">
        <v>41675</v>
      </c>
      <c r="G6" s="278">
        <v>39880</v>
      </c>
      <c r="I6" s="7">
        <f>AVERAGE(C6:G6)</f>
        <v>45604.2</v>
      </c>
    </row>
    <row r="7" spans="2:9">
      <c r="B7" s="274" t="s">
        <v>369</v>
      </c>
      <c r="C7" s="7">
        <v>29699</v>
      </c>
      <c r="D7" s="7">
        <v>25859</v>
      </c>
      <c r="E7" s="7">
        <v>28881</v>
      </c>
      <c r="F7" s="264">
        <v>35220</v>
      </c>
      <c r="G7" s="278">
        <v>36235</v>
      </c>
      <c r="I7" s="7">
        <f t="shared" ref="I7:I11" si="0">AVERAGE(C7:G7)</f>
        <v>31178.799999999999</v>
      </c>
    </row>
    <row r="8" spans="2:9">
      <c r="B8" s="4" t="s">
        <v>370</v>
      </c>
      <c r="C8" s="7">
        <v>36340</v>
      </c>
      <c r="D8" s="7">
        <v>38761</v>
      </c>
      <c r="E8" s="7">
        <v>29001</v>
      </c>
      <c r="F8" s="264">
        <v>36488</v>
      </c>
      <c r="G8" s="278">
        <v>41767</v>
      </c>
      <c r="I8" s="7">
        <f t="shared" si="0"/>
        <v>36471.4</v>
      </c>
    </row>
    <row r="9" spans="2:9" ht="13.5" thickBot="1">
      <c r="B9" s="275" t="s">
        <v>371</v>
      </c>
      <c r="C9" s="266">
        <v>36126</v>
      </c>
      <c r="D9" s="266">
        <v>27789</v>
      </c>
      <c r="E9" s="266">
        <v>35968</v>
      </c>
      <c r="F9" s="267">
        <v>16041</v>
      </c>
      <c r="G9" s="279">
        <v>43508</v>
      </c>
      <c r="I9" s="266">
        <f t="shared" si="0"/>
        <v>31886.400000000001</v>
      </c>
    </row>
    <row r="10" spans="2:9" ht="13.5" thickBot="1">
      <c r="B10" s="4" t="s">
        <v>372</v>
      </c>
      <c r="C10" s="7">
        <v>35636</v>
      </c>
      <c r="D10" s="7">
        <v>24140</v>
      </c>
      <c r="E10" s="264">
        <v>18828</v>
      </c>
      <c r="F10" s="280">
        <v>30106</v>
      </c>
      <c r="G10" s="276">
        <v>18239</v>
      </c>
      <c r="I10" s="7">
        <f t="shared" si="0"/>
        <v>25389.8</v>
      </c>
    </row>
    <row r="11" spans="2:9" ht="13.5" thickBot="1">
      <c r="B11" s="274" t="s">
        <v>373</v>
      </c>
      <c r="C11" s="7">
        <v>32001</v>
      </c>
      <c r="D11" s="7">
        <v>43534</v>
      </c>
      <c r="E11" s="7">
        <v>29891</v>
      </c>
      <c r="F11" s="268">
        <v>23587</v>
      </c>
      <c r="G11" s="281">
        <v>32178</v>
      </c>
      <c r="I11" s="7">
        <f t="shared" si="0"/>
        <v>32238.2</v>
      </c>
    </row>
    <row r="12" spans="2:9" ht="13.5" thickBot="1"/>
    <row r="13" spans="2:9" ht="13.5" thickBot="1">
      <c r="B13" s="265" t="s">
        <v>374</v>
      </c>
      <c r="C13" s="7">
        <f>AVERAGE(C6:C11)</f>
        <v>36614.5</v>
      </c>
      <c r="D13" s="7">
        <f>AVERAGE(D6:D11)</f>
        <v>35651.333333333336</v>
      </c>
      <c r="E13" s="7">
        <f>AVERAGE(E6:E11)</f>
        <v>30887.5</v>
      </c>
      <c r="F13" s="264">
        <f>AVERAGE(F6:F11)</f>
        <v>30519.5</v>
      </c>
      <c r="G13" s="282">
        <f>AVERAGE(G6:G11)</f>
        <v>35301.166666666664</v>
      </c>
      <c r="I13" s="7">
        <f>AVERAGE(C13:G13)</f>
        <v>33794.800000000003</v>
      </c>
    </row>
    <row r="22" spans="2:4">
      <c r="B22" s="2" t="s">
        <v>375</v>
      </c>
      <c r="C22" s="2" t="s">
        <v>406</v>
      </c>
      <c r="D22" s="269" t="s">
        <v>376</v>
      </c>
    </row>
    <row r="23" spans="2:4">
      <c r="B23" s="2" t="s">
        <v>368</v>
      </c>
      <c r="C23" s="13">
        <f>G6</f>
        <v>39880</v>
      </c>
      <c r="D23" s="270">
        <f>C23/$C$26</f>
        <v>0.91661303668290894</v>
      </c>
    </row>
    <row r="24" spans="2:4">
      <c r="B24" s="265" t="s">
        <v>369</v>
      </c>
      <c r="C24" s="13">
        <f>G7</f>
        <v>36235</v>
      </c>
      <c r="D24" s="270">
        <f t="shared" ref="D24:D28" si="1">C24/$C$26</f>
        <v>0.83283534062701114</v>
      </c>
    </row>
    <row r="25" spans="2:4">
      <c r="B25" s="2" t="s">
        <v>370</v>
      </c>
      <c r="C25" s="13">
        <f>G8</f>
        <v>41767</v>
      </c>
      <c r="D25" s="270">
        <f t="shared" si="1"/>
        <v>0.95998437069044773</v>
      </c>
    </row>
    <row r="26" spans="2:4">
      <c r="B26" s="271" t="s">
        <v>371</v>
      </c>
      <c r="C26" s="272">
        <f>G9</f>
        <v>43508</v>
      </c>
      <c r="D26" s="273">
        <f>C26/$C$26</f>
        <v>1</v>
      </c>
    </row>
    <row r="27" spans="2:4">
      <c r="B27" s="2" t="s">
        <v>372</v>
      </c>
      <c r="C27" s="13">
        <f>F10</f>
        <v>30106</v>
      </c>
      <c r="D27" s="270">
        <f t="shared" si="1"/>
        <v>0.69196469614783485</v>
      </c>
    </row>
    <row r="28" spans="2:4">
      <c r="B28" s="265" t="s">
        <v>373</v>
      </c>
      <c r="C28" s="13">
        <f>G11</f>
        <v>32178</v>
      </c>
      <c r="D28" s="270">
        <f t="shared" si="1"/>
        <v>0.73958812172474031</v>
      </c>
    </row>
  </sheetData>
  <phoneticPr fontId="2"/>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sheetPr>
  <dimension ref="A1:AP58"/>
  <sheetViews>
    <sheetView showZeros="0" view="pageBreakPreview" topLeftCell="A11" zoomScaleNormal="100" zoomScaleSheetLayoutView="100" workbookViewId="0">
      <selection activeCell="B5" sqref="B5:L6"/>
    </sheetView>
  </sheetViews>
  <sheetFormatPr defaultRowHeight="18" customHeight="1"/>
  <cols>
    <col min="1" max="1" width="1.26953125" style="571" customWidth="1"/>
    <col min="2" max="2" width="3.6328125" style="571" customWidth="1"/>
    <col min="3" max="60" width="2.6328125" style="571" customWidth="1"/>
    <col min="61" max="257" width="9" style="571"/>
    <col min="258" max="290" width="2.6328125" style="571" customWidth="1"/>
    <col min="291" max="291" width="2.36328125" style="571" customWidth="1"/>
    <col min="292" max="316" width="2.6328125" style="571" customWidth="1"/>
    <col min="317" max="513" width="9" style="571"/>
    <col min="514" max="546" width="2.6328125" style="571" customWidth="1"/>
    <col min="547" max="547" width="2.36328125" style="571" customWidth="1"/>
    <col min="548" max="572" width="2.6328125" style="571" customWidth="1"/>
    <col min="573" max="769" width="9" style="571"/>
    <col min="770" max="802" width="2.6328125" style="571" customWidth="1"/>
    <col min="803" max="803" width="2.36328125" style="571" customWidth="1"/>
    <col min="804" max="828" width="2.6328125" style="571" customWidth="1"/>
    <col min="829" max="1025" width="9" style="571"/>
    <col min="1026" max="1058" width="2.6328125" style="571" customWidth="1"/>
    <col min="1059" max="1059" width="2.36328125" style="571" customWidth="1"/>
    <col min="1060" max="1084" width="2.6328125" style="571" customWidth="1"/>
    <col min="1085" max="1281" width="9" style="571"/>
    <col min="1282" max="1314" width="2.6328125" style="571" customWidth="1"/>
    <col min="1315" max="1315" width="2.36328125" style="571" customWidth="1"/>
    <col min="1316" max="1340" width="2.6328125" style="571" customWidth="1"/>
    <col min="1341" max="1537" width="9" style="571"/>
    <col min="1538" max="1570" width="2.6328125" style="571" customWidth="1"/>
    <col min="1571" max="1571" width="2.36328125" style="571" customWidth="1"/>
    <col min="1572" max="1596" width="2.6328125" style="571" customWidth="1"/>
    <col min="1597" max="1793" width="9" style="571"/>
    <col min="1794" max="1826" width="2.6328125" style="571" customWidth="1"/>
    <col min="1827" max="1827" width="2.36328125" style="571" customWidth="1"/>
    <col min="1828" max="1852" width="2.6328125" style="571" customWidth="1"/>
    <col min="1853" max="2049" width="9" style="571"/>
    <col min="2050" max="2082" width="2.6328125" style="571" customWidth="1"/>
    <col min="2083" max="2083" width="2.36328125" style="571" customWidth="1"/>
    <col min="2084" max="2108" width="2.6328125" style="571" customWidth="1"/>
    <col min="2109" max="2305" width="9" style="571"/>
    <col min="2306" max="2338" width="2.6328125" style="571" customWidth="1"/>
    <col min="2339" max="2339" width="2.36328125" style="571" customWidth="1"/>
    <col min="2340" max="2364" width="2.6328125" style="571" customWidth="1"/>
    <col min="2365" max="2561" width="9" style="571"/>
    <col min="2562" max="2594" width="2.6328125" style="571" customWidth="1"/>
    <col min="2595" max="2595" width="2.36328125" style="571" customWidth="1"/>
    <col min="2596" max="2620" width="2.6328125" style="571" customWidth="1"/>
    <col min="2621" max="2817" width="9" style="571"/>
    <col min="2818" max="2850" width="2.6328125" style="571" customWidth="1"/>
    <col min="2851" max="2851" width="2.36328125" style="571" customWidth="1"/>
    <col min="2852" max="2876" width="2.6328125" style="571" customWidth="1"/>
    <col min="2877" max="3073" width="9" style="571"/>
    <col min="3074" max="3106" width="2.6328125" style="571" customWidth="1"/>
    <col min="3107" max="3107" width="2.36328125" style="571" customWidth="1"/>
    <col min="3108" max="3132" width="2.6328125" style="571" customWidth="1"/>
    <col min="3133" max="3329" width="9" style="571"/>
    <col min="3330" max="3362" width="2.6328125" style="571" customWidth="1"/>
    <col min="3363" max="3363" width="2.36328125" style="571" customWidth="1"/>
    <col min="3364" max="3388" width="2.6328125" style="571" customWidth="1"/>
    <col min="3389" max="3585" width="9" style="571"/>
    <col min="3586" max="3618" width="2.6328125" style="571" customWidth="1"/>
    <col min="3619" max="3619" width="2.36328125" style="571" customWidth="1"/>
    <col min="3620" max="3644" width="2.6328125" style="571" customWidth="1"/>
    <col min="3645" max="3841" width="9" style="571"/>
    <col min="3842" max="3874" width="2.6328125" style="571" customWidth="1"/>
    <col min="3875" max="3875" width="2.36328125" style="571" customWidth="1"/>
    <col min="3876" max="3900" width="2.6328125" style="571" customWidth="1"/>
    <col min="3901" max="4097" width="9" style="571"/>
    <col min="4098" max="4130" width="2.6328125" style="571" customWidth="1"/>
    <col min="4131" max="4131" width="2.36328125" style="571" customWidth="1"/>
    <col min="4132" max="4156" width="2.6328125" style="571" customWidth="1"/>
    <col min="4157" max="4353" width="9" style="571"/>
    <col min="4354" max="4386" width="2.6328125" style="571" customWidth="1"/>
    <col min="4387" max="4387" width="2.36328125" style="571" customWidth="1"/>
    <col min="4388" max="4412" width="2.6328125" style="571" customWidth="1"/>
    <col min="4413" max="4609" width="9" style="571"/>
    <col min="4610" max="4642" width="2.6328125" style="571" customWidth="1"/>
    <col min="4643" max="4643" width="2.36328125" style="571" customWidth="1"/>
    <col min="4644" max="4668" width="2.6328125" style="571" customWidth="1"/>
    <col min="4669" max="4865" width="9" style="571"/>
    <col min="4866" max="4898" width="2.6328125" style="571" customWidth="1"/>
    <col min="4899" max="4899" width="2.36328125" style="571" customWidth="1"/>
    <col min="4900" max="4924" width="2.6328125" style="571" customWidth="1"/>
    <col min="4925" max="5121" width="9" style="571"/>
    <col min="5122" max="5154" width="2.6328125" style="571" customWidth="1"/>
    <col min="5155" max="5155" width="2.36328125" style="571" customWidth="1"/>
    <col min="5156" max="5180" width="2.6328125" style="571" customWidth="1"/>
    <col min="5181" max="5377" width="9" style="571"/>
    <col min="5378" max="5410" width="2.6328125" style="571" customWidth="1"/>
    <col min="5411" max="5411" width="2.36328125" style="571" customWidth="1"/>
    <col min="5412" max="5436" width="2.6328125" style="571" customWidth="1"/>
    <col min="5437" max="5633" width="9" style="571"/>
    <col min="5634" max="5666" width="2.6328125" style="571" customWidth="1"/>
    <col min="5667" max="5667" width="2.36328125" style="571" customWidth="1"/>
    <col min="5668" max="5692" width="2.6328125" style="571" customWidth="1"/>
    <col min="5693" max="5889" width="9" style="571"/>
    <col min="5890" max="5922" width="2.6328125" style="571" customWidth="1"/>
    <col min="5923" max="5923" width="2.36328125" style="571" customWidth="1"/>
    <col min="5924" max="5948" width="2.6328125" style="571" customWidth="1"/>
    <col min="5949" max="6145" width="9" style="571"/>
    <col min="6146" max="6178" width="2.6328125" style="571" customWidth="1"/>
    <col min="6179" max="6179" width="2.36328125" style="571" customWidth="1"/>
    <col min="6180" max="6204" width="2.6328125" style="571" customWidth="1"/>
    <col min="6205" max="6401" width="9" style="571"/>
    <col min="6402" max="6434" width="2.6328125" style="571" customWidth="1"/>
    <col min="6435" max="6435" width="2.36328125" style="571" customWidth="1"/>
    <col min="6436" max="6460" width="2.6328125" style="571" customWidth="1"/>
    <col min="6461" max="6657" width="9" style="571"/>
    <col min="6658" max="6690" width="2.6328125" style="571" customWidth="1"/>
    <col min="6691" max="6691" width="2.36328125" style="571" customWidth="1"/>
    <col min="6692" max="6716" width="2.6328125" style="571" customWidth="1"/>
    <col min="6717" max="6913" width="9" style="571"/>
    <col min="6914" max="6946" width="2.6328125" style="571" customWidth="1"/>
    <col min="6947" max="6947" width="2.36328125" style="571" customWidth="1"/>
    <col min="6948" max="6972" width="2.6328125" style="571" customWidth="1"/>
    <col min="6973" max="7169" width="9" style="571"/>
    <col min="7170" max="7202" width="2.6328125" style="571" customWidth="1"/>
    <col min="7203" max="7203" width="2.36328125" style="571" customWidth="1"/>
    <col min="7204" max="7228" width="2.6328125" style="571" customWidth="1"/>
    <col min="7229" max="7425" width="9" style="571"/>
    <col min="7426" max="7458" width="2.6328125" style="571" customWidth="1"/>
    <col min="7459" max="7459" width="2.36328125" style="571" customWidth="1"/>
    <col min="7460" max="7484" width="2.6328125" style="571" customWidth="1"/>
    <col min="7485" max="7681" width="9" style="571"/>
    <col min="7682" max="7714" width="2.6328125" style="571" customWidth="1"/>
    <col min="7715" max="7715" width="2.36328125" style="571" customWidth="1"/>
    <col min="7716" max="7740" width="2.6328125" style="571" customWidth="1"/>
    <col min="7741" max="7937" width="9" style="571"/>
    <col min="7938" max="7970" width="2.6328125" style="571" customWidth="1"/>
    <col min="7971" max="7971" width="2.36328125" style="571" customWidth="1"/>
    <col min="7972" max="7996" width="2.6328125" style="571" customWidth="1"/>
    <col min="7997" max="8193" width="9" style="571"/>
    <col min="8194" max="8226" width="2.6328125" style="571" customWidth="1"/>
    <col min="8227" max="8227" width="2.36328125" style="571" customWidth="1"/>
    <col min="8228" max="8252" width="2.6328125" style="571" customWidth="1"/>
    <col min="8253" max="8449" width="9" style="571"/>
    <col min="8450" max="8482" width="2.6328125" style="571" customWidth="1"/>
    <col min="8483" max="8483" width="2.36328125" style="571" customWidth="1"/>
    <col min="8484" max="8508" width="2.6328125" style="571" customWidth="1"/>
    <col min="8509" max="8705" width="9" style="571"/>
    <col min="8706" max="8738" width="2.6328125" style="571" customWidth="1"/>
    <col min="8739" max="8739" width="2.36328125" style="571" customWidth="1"/>
    <col min="8740" max="8764" width="2.6328125" style="571" customWidth="1"/>
    <col min="8765" max="8961" width="9" style="571"/>
    <col min="8962" max="8994" width="2.6328125" style="571" customWidth="1"/>
    <col min="8995" max="8995" width="2.36328125" style="571" customWidth="1"/>
    <col min="8996" max="9020" width="2.6328125" style="571" customWidth="1"/>
    <col min="9021" max="9217" width="9" style="571"/>
    <col min="9218" max="9250" width="2.6328125" style="571" customWidth="1"/>
    <col min="9251" max="9251" width="2.36328125" style="571" customWidth="1"/>
    <col min="9252" max="9276" width="2.6328125" style="571" customWidth="1"/>
    <col min="9277" max="9473" width="9" style="571"/>
    <col min="9474" max="9506" width="2.6328125" style="571" customWidth="1"/>
    <col min="9507" max="9507" width="2.36328125" style="571" customWidth="1"/>
    <col min="9508" max="9532" width="2.6328125" style="571" customWidth="1"/>
    <col min="9533" max="9729" width="9" style="571"/>
    <col min="9730" max="9762" width="2.6328125" style="571" customWidth="1"/>
    <col min="9763" max="9763" width="2.36328125" style="571" customWidth="1"/>
    <col min="9764" max="9788" width="2.6328125" style="571" customWidth="1"/>
    <col min="9789" max="9985" width="9" style="571"/>
    <col min="9986" max="10018" width="2.6328125" style="571" customWidth="1"/>
    <col min="10019" max="10019" width="2.36328125" style="571" customWidth="1"/>
    <col min="10020" max="10044" width="2.6328125" style="571" customWidth="1"/>
    <col min="10045" max="10241" width="9" style="571"/>
    <col min="10242" max="10274" width="2.6328125" style="571" customWidth="1"/>
    <col min="10275" max="10275" width="2.36328125" style="571" customWidth="1"/>
    <col min="10276" max="10300" width="2.6328125" style="571" customWidth="1"/>
    <col min="10301" max="10497" width="9" style="571"/>
    <col min="10498" max="10530" width="2.6328125" style="571" customWidth="1"/>
    <col min="10531" max="10531" width="2.36328125" style="571" customWidth="1"/>
    <col min="10532" max="10556" width="2.6328125" style="571" customWidth="1"/>
    <col min="10557" max="10753" width="9" style="571"/>
    <col min="10754" max="10786" width="2.6328125" style="571" customWidth="1"/>
    <col min="10787" max="10787" width="2.36328125" style="571" customWidth="1"/>
    <col min="10788" max="10812" width="2.6328125" style="571" customWidth="1"/>
    <col min="10813" max="11009" width="9" style="571"/>
    <col min="11010" max="11042" width="2.6328125" style="571" customWidth="1"/>
    <col min="11043" max="11043" width="2.36328125" style="571" customWidth="1"/>
    <col min="11044" max="11068" width="2.6328125" style="571" customWidth="1"/>
    <col min="11069" max="11265" width="9" style="571"/>
    <col min="11266" max="11298" width="2.6328125" style="571" customWidth="1"/>
    <col min="11299" max="11299" width="2.36328125" style="571" customWidth="1"/>
    <col min="11300" max="11324" width="2.6328125" style="571" customWidth="1"/>
    <col min="11325" max="11521" width="9" style="571"/>
    <col min="11522" max="11554" width="2.6328125" style="571" customWidth="1"/>
    <col min="11555" max="11555" width="2.36328125" style="571" customWidth="1"/>
    <col min="11556" max="11580" width="2.6328125" style="571" customWidth="1"/>
    <col min="11581" max="11777" width="9" style="571"/>
    <col min="11778" max="11810" width="2.6328125" style="571" customWidth="1"/>
    <col min="11811" max="11811" width="2.36328125" style="571" customWidth="1"/>
    <col min="11812" max="11836" width="2.6328125" style="571" customWidth="1"/>
    <col min="11837" max="12033" width="9" style="571"/>
    <col min="12034" max="12066" width="2.6328125" style="571" customWidth="1"/>
    <col min="12067" max="12067" width="2.36328125" style="571" customWidth="1"/>
    <col min="12068" max="12092" width="2.6328125" style="571" customWidth="1"/>
    <col min="12093" max="12289" width="9" style="571"/>
    <col min="12290" max="12322" width="2.6328125" style="571" customWidth="1"/>
    <col min="12323" max="12323" width="2.36328125" style="571" customWidth="1"/>
    <col min="12324" max="12348" width="2.6328125" style="571" customWidth="1"/>
    <col min="12349" max="12545" width="9" style="571"/>
    <col min="12546" max="12578" width="2.6328125" style="571" customWidth="1"/>
    <col min="12579" max="12579" width="2.36328125" style="571" customWidth="1"/>
    <col min="12580" max="12604" width="2.6328125" style="571" customWidth="1"/>
    <col min="12605" max="12801" width="9" style="571"/>
    <col min="12802" max="12834" width="2.6328125" style="571" customWidth="1"/>
    <col min="12835" max="12835" width="2.36328125" style="571" customWidth="1"/>
    <col min="12836" max="12860" width="2.6328125" style="571" customWidth="1"/>
    <col min="12861" max="13057" width="9" style="571"/>
    <col min="13058" max="13090" width="2.6328125" style="571" customWidth="1"/>
    <col min="13091" max="13091" width="2.36328125" style="571" customWidth="1"/>
    <col min="13092" max="13116" width="2.6328125" style="571" customWidth="1"/>
    <col min="13117" max="13313" width="9" style="571"/>
    <col min="13314" max="13346" width="2.6328125" style="571" customWidth="1"/>
    <col min="13347" max="13347" width="2.36328125" style="571" customWidth="1"/>
    <col min="13348" max="13372" width="2.6328125" style="571" customWidth="1"/>
    <col min="13373" max="13569" width="9" style="571"/>
    <col min="13570" max="13602" width="2.6328125" style="571" customWidth="1"/>
    <col min="13603" max="13603" width="2.36328125" style="571" customWidth="1"/>
    <col min="13604" max="13628" width="2.6328125" style="571" customWidth="1"/>
    <col min="13629" max="13825" width="9" style="571"/>
    <col min="13826" max="13858" width="2.6328125" style="571" customWidth="1"/>
    <col min="13859" max="13859" width="2.36328125" style="571" customWidth="1"/>
    <col min="13860" max="13884" width="2.6328125" style="571" customWidth="1"/>
    <col min="13885" max="14081" width="9" style="571"/>
    <col min="14082" max="14114" width="2.6328125" style="571" customWidth="1"/>
    <col min="14115" max="14115" width="2.36328125" style="571" customWidth="1"/>
    <col min="14116" max="14140" width="2.6328125" style="571" customWidth="1"/>
    <col min="14141" max="14337" width="9" style="571"/>
    <col min="14338" max="14370" width="2.6328125" style="571" customWidth="1"/>
    <col min="14371" max="14371" width="2.36328125" style="571" customWidth="1"/>
    <col min="14372" max="14396" width="2.6328125" style="571" customWidth="1"/>
    <col min="14397" max="14593" width="9" style="571"/>
    <col min="14594" max="14626" width="2.6328125" style="571" customWidth="1"/>
    <col min="14627" max="14627" width="2.36328125" style="571" customWidth="1"/>
    <col min="14628" max="14652" width="2.6328125" style="571" customWidth="1"/>
    <col min="14653" max="14849" width="9" style="571"/>
    <col min="14850" max="14882" width="2.6328125" style="571" customWidth="1"/>
    <col min="14883" max="14883" width="2.36328125" style="571" customWidth="1"/>
    <col min="14884" max="14908" width="2.6328125" style="571" customWidth="1"/>
    <col min="14909" max="15105" width="9" style="571"/>
    <col min="15106" max="15138" width="2.6328125" style="571" customWidth="1"/>
    <col min="15139" max="15139" width="2.36328125" style="571" customWidth="1"/>
    <col min="15140" max="15164" width="2.6328125" style="571" customWidth="1"/>
    <col min="15165" max="15361" width="9" style="571"/>
    <col min="15362" max="15394" width="2.6328125" style="571" customWidth="1"/>
    <col min="15395" max="15395" width="2.36328125" style="571" customWidth="1"/>
    <col min="15396" max="15420" width="2.6328125" style="571" customWidth="1"/>
    <col min="15421" max="15617" width="9" style="571"/>
    <col min="15618" max="15650" width="2.6328125" style="571" customWidth="1"/>
    <col min="15651" max="15651" width="2.36328125" style="571" customWidth="1"/>
    <col min="15652" max="15676" width="2.6328125" style="571" customWidth="1"/>
    <col min="15677" max="15873" width="9" style="571"/>
    <col min="15874" max="15906" width="2.6328125" style="571" customWidth="1"/>
    <col min="15907" max="15907" width="2.36328125" style="571" customWidth="1"/>
    <col min="15908" max="15932" width="2.6328125" style="571" customWidth="1"/>
    <col min="15933" max="16129" width="9" style="571"/>
    <col min="16130" max="16162" width="2.6328125" style="571" customWidth="1"/>
    <col min="16163" max="16163" width="2.36328125" style="571" customWidth="1"/>
    <col min="16164" max="16188" width="2.6328125" style="571" customWidth="1"/>
    <col min="16189" max="16384" width="9" style="571"/>
  </cols>
  <sheetData>
    <row r="1" spans="1:36" ht="18" hidden="1" customHeight="1">
      <c r="B1" s="571">
        <v>1</v>
      </c>
      <c r="C1" s="571">
        <v>2</v>
      </c>
      <c r="D1" s="571">
        <v>3</v>
      </c>
      <c r="E1" s="571">
        <v>4</v>
      </c>
      <c r="F1" s="571">
        <v>5</v>
      </c>
      <c r="G1" s="571">
        <v>6</v>
      </c>
      <c r="H1" s="571">
        <v>7</v>
      </c>
      <c r="I1" s="571">
        <v>8</v>
      </c>
      <c r="J1" s="571">
        <v>9</v>
      </c>
      <c r="K1" s="571">
        <v>10</v>
      </c>
      <c r="L1" s="571">
        <v>11</v>
      </c>
      <c r="M1" s="571">
        <v>12</v>
      </c>
      <c r="N1" s="571">
        <v>13</v>
      </c>
      <c r="O1" s="571">
        <v>14</v>
      </c>
      <c r="P1" s="571">
        <v>15</v>
      </c>
      <c r="Q1" s="571">
        <v>16</v>
      </c>
      <c r="R1" s="571">
        <v>17</v>
      </c>
      <c r="S1" s="571">
        <v>18</v>
      </c>
      <c r="T1" s="571">
        <v>19</v>
      </c>
      <c r="U1" s="571">
        <v>20</v>
      </c>
      <c r="V1" s="571">
        <v>21</v>
      </c>
      <c r="W1" s="571">
        <v>22</v>
      </c>
      <c r="X1" s="571">
        <v>23</v>
      </c>
      <c r="Y1" s="571">
        <v>24</v>
      </c>
      <c r="Z1" s="571">
        <v>25</v>
      </c>
      <c r="AA1" s="571">
        <v>26</v>
      </c>
      <c r="AB1" s="571">
        <v>27</v>
      </c>
      <c r="AC1" s="571">
        <v>28</v>
      </c>
      <c r="AD1" s="571">
        <v>29</v>
      </c>
      <c r="AE1" s="571">
        <v>30</v>
      </c>
      <c r="AF1" s="571">
        <v>31</v>
      </c>
      <c r="AG1" s="571">
        <v>32</v>
      </c>
      <c r="AH1" s="571">
        <v>33</v>
      </c>
      <c r="AI1" s="571">
        <v>34</v>
      </c>
    </row>
    <row r="2" spans="1:36" ht="18" customHeight="1">
      <c r="A2" s="1259" t="s">
        <v>1035</v>
      </c>
      <c r="B2" s="1259"/>
      <c r="C2" s="1259"/>
      <c r="D2" s="1259"/>
      <c r="E2" s="1259"/>
      <c r="F2" s="1259"/>
      <c r="G2" s="1259"/>
      <c r="H2" s="1259"/>
      <c r="I2" s="1259"/>
      <c r="J2" s="1259"/>
      <c r="K2" s="1259"/>
      <c r="L2" s="1259"/>
      <c r="M2" s="1259"/>
      <c r="N2" s="1259"/>
      <c r="O2" s="1259"/>
      <c r="P2" s="1259"/>
      <c r="Q2" s="1259"/>
      <c r="R2" s="1259"/>
      <c r="S2" s="1259"/>
      <c r="T2" s="1259"/>
      <c r="U2" s="1259"/>
      <c r="V2" s="1259"/>
      <c r="W2" s="1259"/>
      <c r="X2" s="1259"/>
      <c r="Y2" s="1259"/>
      <c r="Z2" s="1259"/>
      <c r="AA2" s="1259"/>
      <c r="AB2" s="1259"/>
      <c r="AC2" s="1259"/>
      <c r="AD2" s="1259"/>
      <c r="AE2" s="1259"/>
      <c r="AF2" s="1259"/>
      <c r="AG2" s="1259"/>
      <c r="AH2" s="1259"/>
      <c r="AI2" s="1259"/>
      <c r="AJ2" s="1259"/>
    </row>
    <row r="3" spans="1:36" s="763" customFormat="1" ht="12">
      <c r="AI3" s="584"/>
    </row>
    <row r="4" spans="1:36" ht="18" customHeight="1">
      <c r="B4" s="764" t="s">
        <v>1007</v>
      </c>
      <c r="AI4" s="765" t="s">
        <v>615</v>
      </c>
    </row>
    <row r="5" spans="1:36" ht="18" customHeight="1">
      <c r="B5" s="1439" t="s">
        <v>576</v>
      </c>
      <c r="C5" s="1440"/>
      <c r="D5" s="1440"/>
      <c r="E5" s="1440"/>
      <c r="F5" s="1440"/>
      <c r="G5" s="1440"/>
      <c r="H5" s="1440"/>
      <c r="I5" s="1440"/>
      <c r="J5" s="1440"/>
      <c r="K5" s="1440"/>
      <c r="L5" s="1441"/>
      <c r="M5" s="1445" t="s">
        <v>616</v>
      </c>
      <c r="N5" s="1446"/>
      <c r="O5" s="1446"/>
      <c r="P5" s="1446"/>
      <c r="Q5" s="1446"/>
      <c r="R5" s="1446"/>
      <c r="S5" s="1446"/>
      <c r="T5" s="1446"/>
      <c r="U5" s="1446"/>
      <c r="V5" s="1446"/>
      <c r="W5" s="1446"/>
      <c r="X5" s="1446"/>
      <c r="Y5" s="1445" t="s">
        <v>577</v>
      </c>
      <c r="Z5" s="1446"/>
      <c r="AA5" s="1446"/>
      <c r="AB5" s="1446"/>
      <c r="AC5" s="1447"/>
      <c r="AD5" s="1446" t="s">
        <v>578</v>
      </c>
      <c r="AE5" s="1446"/>
      <c r="AF5" s="1446"/>
      <c r="AG5" s="1446"/>
      <c r="AH5" s="1446"/>
      <c r="AI5" s="1447"/>
    </row>
    <row r="6" spans="1:36" ht="18" customHeight="1">
      <c r="B6" s="1442"/>
      <c r="C6" s="1443"/>
      <c r="D6" s="1443"/>
      <c r="E6" s="1443"/>
      <c r="F6" s="1443"/>
      <c r="G6" s="1443"/>
      <c r="H6" s="1443"/>
      <c r="I6" s="1443"/>
      <c r="J6" s="1443"/>
      <c r="K6" s="1443"/>
      <c r="L6" s="1444"/>
      <c r="M6" s="1451" t="s">
        <v>579</v>
      </c>
      <c r="N6" s="1451"/>
      <c r="O6" s="1451"/>
      <c r="P6" s="1451"/>
      <c r="Q6" s="1451"/>
      <c r="R6" s="1451" t="s">
        <v>580</v>
      </c>
      <c r="S6" s="1451"/>
      <c r="T6" s="1451" t="s">
        <v>581</v>
      </c>
      <c r="U6" s="1451"/>
      <c r="V6" s="1451"/>
      <c r="W6" s="1451"/>
      <c r="X6" s="1452"/>
      <c r="Y6" s="1448"/>
      <c r="Z6" s="1449"/>
      <c r="AA6" s="1449"/>
      <c r="AB6" s="1449"/>
      <c r="AC6" s="1450"/>
      <c r="AD6" s="1449"/>
      <c r="AE6" s="1449"/>
      <c r="AF6" s="1449"/>
      <c r="AG6" s="1449"/>
      <c r="AH6" s="1449"/>
      <c r="AI6" s="1450"/>
    </row>
    <row r="7" spans="1:36" ht="16.75" customHeight="1">
      <c r="B7" s="1454" t="s">
        <v>582</v>
      </c>
      <c r="C7" s="1457"/>
      <c r="D7" s="1458"/>
      <c r="E7" s="1458"/>
      <c r="F7" s="1458"/>
      <c r="G7" s="1458"/>
      <c r="H7" s="1458"/>
      <c r="I7" s="1458"/>
      <c r="J7" s="1458"/>
      <c r="K7" s="1458"/>
      <c r="L7" s="1458"/>
      <c r="M7" s="1459"/>
      <c r="N7" s="1459"/>
      <c r="O7" s="1459"/>
      <c r="P7" s="1459"/>
      <c r="Q7" s="1459"/>
      <c r="R7" s="1459"/>
      <c r="S7" s="1459"/>
      <c r="T7" s="1453">
        <f t="shared" ref="T7:T18" si="0">ROUND(M7*R7,0)</f>
        <v>0</v>
      </c>
      <c r="U7" s="1453"/>
      <c r="V7" s="1453"/>
      <c r="W7" s="1453"/>
      <c r="X7" s="1453"/>
      <c r="Y7" s="1459"/>
      <c r="Z7" s="1459"/>
      <c r="AA7" s="1459"/>
      <c r="AB7" s="1459"/>
      <c r="AC7" s="1459"/>
      <c r="AD7" s="1453">
        <f t="shared" ref="AD7:AD31" si="1">T7+Y7</f>
        <v>0</v>
      </c>
      <c r="AE7" s="1453"/>
      <c r="AF7" s="1453"/>
      <c r="AG7" s="1453"/>
      <c r="AH7" s="1453"/>
      <c r="AI7" s="1453"/>
    </row>
    <row r="8" spans="1:36" ht="16.75" customHeight="1">
      <c r="B8" s="1455"/>
      <c r="C8" s="1428"/>
      <c r="D8" s="1429"/>
      <c r="E8" s="1429"/>
      <c r="F8" s="1429"/>
      <c r="G8" s="1429"/>
      <c r="H8" s="1429"/>
      <c r="I8" s="1429"/>
      <c r="J8" s="1429"/>
      <c r="K8" s="1429"/>
      <c r="L8" s="1430"/>
      <c r="M8" s="1433"/>
      <c r="N8" s="1434"/>
      <c r="O8" s="1434"/>
      <c r="P8" s="1434"/>
      <c r="Q8" s="1435"/>
      <c r="R8" s="1433"/>
      <c r="S8" s="1435"/>
      <c r="T8" s="1436">
        <f t="shared" si="0"/>
        <v>0</v>
      </c>
      <c r="U8" s="1437"/>
      <c r="V8" s="1437"/>
      <c r="W8" s="1437"/>
      <c r="X8" s="1438"/>
      <c r="Y8" s="1433"/>
      <c r="Z8" s="1434"/>
      <c r="AA8" s="1434"/>
      <c r="AB8" s="1434"/>
      <c r="AC8" s="1435"/>
      <c r="AD8" s="1436">
        <f t="shared" ref="AD8:AD16" si="2">T8+Y8</f>
        <v>0</v>
      </c>
      <c r="AE8" s="1437"/>
      <c r="AF8" s="1437"/>
      <c r="AG8" s="1437"/>
      <c r="AH8" s="1437"/>
      <c r="AI8" s="1438"/>
    </row>
    <row r="9" spans="1:36" ht="16.75" customHeight="1">
      <c r="B9" s="1455"/>
      <c r="C9" s="1428"/>
      <c r="D9" s="1429"/>
      <c r="E9" s="1429"/>
      <c r="F9" s="1429"/>
      <c r="G9" s="1429"/>
      <c r="H9" s="1429"/>
      <c r="I9" s="1429"/>
      <c r="J9" s="1429"/>
      <c r="K9" s="1429"/>
      <c r="L9" s="1430"/>
      <c r="M9" s="1433"/>
      <c r="N9" s="1434"/>
      <c r="O9" s="1434"/>
      <c r="P9" s="1434"/>
      <c r="Q9" s="1435"/>
      <c r="R9" s="1433"/>
      <c r="S9" s="1435"/>
      <c r="T9" s="1436">
        <f t="shared" si="0"/>
        <v>0</v>
      </c>
      <c r="U9" s="1437"/>
      <c r="V9" s="1437"/>
      <c r="W9" s="1437"/>
      <c r="X9" s="1438"/>
      <c r="Y9" s="1433"/>
      <c r="Z9" s="1434"/>
      <c r="AA9" s="1434"/>
      <c r="AB9" s="1434"/>
      <c r="AC9" s="1435"/>
      <c r="AD9" s="1436">
        <f t="shared" si="2"/>
        <v>0</v>
      </c>
      <c r="AE9" s="1437"/>
      <c r="AF9" s="1437"/>
      <c r="AG9" s="1437"/>
      <c r="AH9" s="1437"/>
      <c r="AI9" s="1438"/>
    </row>
    <row r="10" spans="1:36" ht="16.75" customHeight="1">
      <c r="B10" s="1455"/>
      <c r="C10" s="1428"/>
      <c r="D10" s="1429"/>
      <c r="E10" s="1429"/>
      <c r="F10" s="1429"/>
      <c r="G10" s="1429"/>
      <c r="H10" s="1429"/>
      <c r="I10" s="1429"/>
      <c r="J10" s="1429"/>
      <c r="K10" s="1429"/>
      <c r="L10" s="1430"/>
      <c r="M10" s="1433"/>
      <c r="N10" s="1434"/>
      <c r="O10" s="1434"/>
      <c r="P10" s="1434"/>
      <c r="Q10" s="1435"/>
      <c r="R10" s="1433"/>
      <c r="S10" s="1435"/>
      <c r="T10" s="1436">
        <f t="shared" ref="T10:T15" si="3">ROUND(M10*R10,0)</f>
        <v>0</v>
      </c>
      <c r="U10" s="1437"/>
      <c r="V10" s="1437"/>
      <c r="W10" s="1437"/>
      <c r="X10" s="1438"/>
      <c r="Y10" s="1433"/>
      <c r="Z10" s="1434"/>
      <c r="AA10" s="1434"/>
      <c r="AB10" s="1434"/>
      <c r="AC10" s="1435"/>
      <c r="AD10" s="1436">
        <f t="shared" si="2"/>
        <v>0</v>
      </c>
      <c r="AE10" s="1437"/>
      <c r="AF10" s="1437"/>
      <c r="AG10" s="1437"/>
      <c r="AH10" s="1437"/>
      <c r="AI10" s="1438"/>
    </row>
    <row r="11" spans="1:36" ht="16.75" customHeight="1">
      <c r="B11" s="1455"/>
      <c r="C11" s="1428"/>
      <c r="D11" s="1429"/>
      <c r="E11" s="1429"/>
      <c r="F11" s="1429"/>
      <c r="G11" s="1429"/>
      <c r="H11" s="1429"/>
      <c r="I11" s="1429"/>
      <c r="J11" s="1429"/>
      <c r="K11" s="1429"/>
      <c r="L11" s="1430"/>
      <c r="M11" s="1433"/>
      <c r="N11" s="1434"/>
      <c r="O11" s="1434"/>
      <c r="P11" s="1434"/>
      <c r="Q11" s="1435"/>
      <c r="R11" s="1433"/>
      <c r="S11" s="1435"/>
      <c r="T11" s="1436">
        <f t="shared" si="3"/>
        <v>0</v>
      </c>
      <c r="U11" s="1437"/>
      <c r="V11" s="1437"/>
      <c r="W11" s="1437"/>
      <c r="X11" s="1438"/>
      <c r="Y11" s="1433"/>
      <c r="Z11" s="1434"/>
      <c r="AA11" s="1434"/>
      <c r="AB11" s="1434"/>
      <c r="AC11" s="1435"/>
      <c r="AD11" s="1436">
        <f t="shared" si="2"/>
        <v>0</v>
      </c>
      <c r="AE11" s="1437"/>
      <c r="AF11" s="1437"/>
      <c r="AG11" s="1437"/>
      <c r="AH11" s="1437"/>
      <c r="AI11" s="1438"/>
    </row>
    <row r="12" spans="1:36" ht="16.75" customHeight="1">
      <c r="B12" s="1455"/>
      <c r="C12" s="1428"/>
      <c r="D12" s="1429"/>
      <c r="E12" s="1429"/>
      <c r="F12" s="1429"/>
      <c r="G12" s="1429"/>
      <c r="H12" s="1429"/>
      <c r="I12" s="1429"/>
      <c r="J12" s="1429"/>
      <c r="K12" s="1429"/>
      <c r="L12" s="1430"/>
      <c r="M12" s="1433"/>
      <c r="N12" s="1434"/>
      <c r="O12" s="1434"/>
      <c r="P12" s="1434"/>
      <c r="Q12" s="1435"/>
      <c r="R12" s="1433"/>
      <c r="S12" s="1435"/>
      <c r="T12" s="1436">
        <f t="shared" si="3"/>
        <v>0</v>
      </c>
      <c r="U12" s="1437"/>
      <c r="V12" s="1437"/>
      <c r="W12" s="1437"/>
      <c r="X12" s="1438"/>
      <c r="Y12" s="1433"/>
      <c r="Z12" s="1434"/>
      <c r="AA12" s="1434"/>
      <c r="AB12" s="1434"/>
      <c r="AC12" s="1435"/>
      <c r="AD12" s="1436">
        <f t="shared" si="2"/>
        <v>0</v>
      </c>
      <c r="AE12" s="1437"/>
      <c r="AF12" s="1437"/>
      <c r="AG12" s="1437"/>
      <c r="AH12" s="1437"/>
      <c r="AI12" s="1438"/>
    </row>
    <row r="13" spans="1:36" ht="16.75" customHeight="1">
      <c r="B13" s="1455"/>
      <c r="C13" s="1428"/>
      <c r="D13" s="1429"/>
      <c r="E13" s="1429"/>
      <c r="F13" s="1429"/>
      <c r="G13" s="1429"/>
      <c r="H13" s="1429"/>
      <c r="I13" s="1429"/>
      <c r="J13" s="1429"/>
      <c r="K13" s="1429"/>
      <c r="L13" s="1430"/>
      <c r="M13" s="1433"/>
      <c r="N13" s="1434"/>
      <c r="O13" s="1434"/>
      <c r="P13" s="1434"/>
      <c r="Q13" s="1435"/>
      <c r="R13" s="1433"/>
      <c r="S13" s="1435"/>
      <c r="T13" s="1436">
        <f t="shared" si="3"/>
        <v>0</v>
      </c>
      <c r="U13" s="1437"/>
      <c r="V13" s="1437"/>
      <c r="W13" s="1437"/>
      <c r="X13" s="1438"/>
      <c r="Y13" s="1433"/>
      <c r="Z13" s="1434"/>
      <c r="AA13" s="1434"/>
      <c r="AB13" s="1434"/>
      <c r="AC13" s="1435"/>
      <c r="AD13" s="1436">
        <f t="shared" si="2"/>
        <v>0</v>
      </c>
      <c r="AE13" s="1437"/>
      <c r="AF13" s="1437"/>
      <c r="AG13" s="1437"/>
      <c r="AH13" s="1437"/>
      <c r="AI13" s="1438"/>
    </row>
    <row r="14" spans="1:36" ht="16.75" customHeight="1">
      <c r="B14" s="1455"/>
      <c r="C14" s="1428"/>
      <c r="D14" s="1429"/>
      <c r="E14" s="1429"/>
      <c r="F14" s="1429"/>
      <c r="G14" s="1429"/>
      <c r="H14" s="1429"/>
      <c r="I14" s="1429"/>
      <c r="J14" s="1429"/>
      <c r="K14" s="1429"/>
      <c r="L14" s="1430"/>
      <c r="M14" s="1433"/>
      <c r="N14" s="1434"/>
      <c r="O14" s="1434"/>
      <c r="P14" s="1434"/>
      <c r="Q14" s="1435"/>
      <c r="R14" s="1433"/>
      <c r="S14" s="1435"/>
      <c r="T14" s="1436">
        <f t="shared" si="3"/>
        <v>0</v>
      </c>
      <c r="U14" s="1437"/>
      <c r="V14" s="1437"/>
      <c r="W14" s="1437"/>
      <c r="X14" s="1438"/>
      <c r="Y14" s="1433"/>
      <c r="Z14" s="1434"/>
      <c r="AA14" s="1434"/>
      <c r="AB14" s="1434"/>
      <c r="AC14" s="1435"/>
      <c r="AD14" s="1436">
        <f t="shared" si="2"/>
        <v>0</v>
      </c>
      <c r="AE14" s="1437"/>
      <c r="AF14" s="1437"/>
      <c r="AG14" s="1437"/>
      <c r="AH14" s="1437"/>
      <c r="AI14" s="1438"/>
    </row>
    <row r="15" spans="1:36" ht="16.75" customHeight="1">
      <c r="B15" s="1455"/>
      <c r="C15" s="1428"/>
      <c r="D15" s="1429"/>
      <c r="E15" s="1429"/>
      <c r="F15" s="1429"/>
      <c r="G15" s="1429"/>
      <c r="H15" s="1429"/>
      <c r="I15" s="1429"/>
      <c r="J15" s="1429"/>
      <c r="K15" s="1429"/>
      <c r="L15" s="1430"/>
      <c r="M15" s="1433"/>
      <c r="N15" s="1434"/>
      <c r="O15" s="1434"/>
      <c r="P15" s="1434"/>
      <c r="Q15" s="1435"/>
      <c r="R15" s="1433"/>
      <c r="S15" s="1435"/>
      <c r="T15" s="1436">
        <f t="shared" si="3"/>
        <v>0</v>
      </c>
      <c r="U15" s="1437"/>
      <c r="V15" s="1437"/>
      <c r="W15" s="1437"/>
      <c r="X15" s="1438"/>
      <c r="Y15" s="1433"/>
      <c r="Z15" s="1434"/>
      <c r="AA15" s="1434"/>
      <c r="AB15" s="1434"/>
      <c r="AC15" s="1435"/>
      <c r="AD15" s="1436">
        <f t="shared" si="2"/>
        <v>0</v>
      </c>
      <c r="AE15" s="1437"/>
      <c r="AF15" s="1437"/>
      <c r="AG15" s="1437"/>
      <c r="AH15" s="1437"/>
      <c r="AI15" s="1438"/>
    </row>
    <row r="16" spans="1:36" ht="16.75" customHeight="1">
      <c r="B16" s="1455"/>
      <c r="C16" s="1428"/>
      <c r="D16" s="1429"/>
      <c r="E16" s="1429"/>
      <c r="F16" s="1429"/>
      <c r="G16" s="1429"/>
      <c r="H16" s="1429"/>
      <c r="I16" s="1429"/>
      <c r="J16" s="1429"/>
      <c r="K16" s="1429"/>
      <c r="L16" s="1430"/>
      <c r="M16" s="1433"/>
      <c r="N16" s="1434"/>
      <c r="O16" s="1434"/>
      <c r="P16" s="1434"/>
      <c r="Q16" s="1435"/>
      <c r="R16" s="1433"/>
      <c r="S16" s="1435"/>
      <c r="T16" s="1436">
        <f t="shared" si="0"/>
        <v>0</v>
      </c>
      <c r="U16" s="1437"/>
      <c r="V16" s="1437"/>
      <c r="W16" s="1437"/>
      <c r="X16" s="1438"/>
      <c r="Y16" s="1433"/>
      <c r="Z16" s="1434"/>
      <c r="AA16" s="1434"/>
      <c r="AB16" s="1434"/>
      <c r="AC16" s="1435"/>
      <c r="AD16" s="1436">
        <f t="shared" si="2"/>
        <v>0</v>
      </c>
      <c r="AE16" s="1437"/>
      <c r="AF16" s="1437"/>
      <c r="AG16" s="1437"/>
      <c r="AH16" s="1437"/>
      <c r="AI16" s="1438"/>
    </row>
    <row r="17" spans="2:42" ht="16.75" customHeight="1">
      <c r="B17" s="1455"/>
      <c r="C17" s="1428"/>
      <c r="D17" s="1429"/>
      <c r="E17" s="1429"/>
      <c r="F17" s="1429"/>
      <c r="G17" s="1429"/>
      <c r="H17" s="1429"/>
      <c r="I17" s="1429"/>
      <c r="J17" s="1429"/>
      <c r="K17" s="1429"/>
      <c r="L17" s="1430"/>
      <c r="M17" s="1433"/>
      <c r="N17" s="1434"/>
      <c r="O17" s="1434"/>
      <c r="P17" s="1434"/>
      <c r="Q17" s="1435"/>
      <c r="R17" s="1433"/>
      <c r="S17" s="1435"/>
      <c r="T17" s="1436">
        <f t="shared" si="0"/>
        <v>0</v>
      </c>
      <c r="U17" s="1437"/>
      <c r="V17" s="1437"/>
      <c r="W17" s="1437"/>
      <c r="X17" s="1438"/>
      <c r="Y17" s="1433"/>
      <c r="Z17" s="1434"/>
      <c r="AA17" s="1434"/>
      <c r="AB17" s="1434"/>
      <c r="AC17" s="1435"/>
      <c r="AD17" s="1436">
        <f t="shared" si="1"/>
        <v>0</v>
      </c>
      <c r="AE17" s="1437"/>
      <c r="AF17" s="1437"/>
      <c r="AG17" s="1437"/>
      <c r="AH17" s="1437"/>
      <c r="AI17" s="1438"/>
    </row>
    <row r="18" spans="2:42" ht="16.75" customHeight="1">
      <c r="B18" s="1455"/>
      <c r="C18" s="1463" t="s">
        <v>1008</v>
      </c>
      <c r="D18" s="1464"/>
      <c r="E18" s="1464"/>
      <c r="F18" s="1464"/>
      <c r="G18" s="1464"/>
      <c r="H18" s="1464"/>
      <c r="I18" s="1464"/>
      <c r="J18" s="1464"/>
      <c r="K18" s="1464"/>
      <c r="L18" s="1465"/>
      <c r="M18" s="1433"/>
      <c r="N18" s="1434"/>
      <c r="O18" s="1434"/>
      <c r="P18" s="1434"/>
      <c r="Q18" s="1435"/>
      <c r="R18" s="1433"/>
      <c r="S18" s="1435"/>
      <c r="T18" s="1436">
        <f t="shared" si="0"/>
        <v>0</v>
      </c>
      <c r="U18" s="1437"/>
      <c r="V18" s="1437"/>
      <c r="W18" s="1437"/>
      <c r="X18" s="1438"/>
      <c r="Y18" s="1433"/>
      <c r="Z18" s="1434"/>
      <c r="AA18" s="1434"/>
      <c r="AB18" s="1434"/>
      <c r="AC18" s="1435"/>
      <c r="AD18" s="1436">
        <f t="shared" si="1"/>
        <v>0</v>
      </c>
      <c r="AE18" s="1437"/>
      <c r="AF18" s="1437"/>
      <c r="AG18" s="1437"/>
      <c r="AH18" s="1437"/>
      <c r="AI18" s="1438"/>
    </row>
    <row r="19" spans="2:42" ht="18" customHeight="1">
      <c r="B19" s="1456"/>
      <c r="C19" s="1460" t="s">
        <v>812</v>
      </c>
      <c r="D19" s="1460"/>
      <c r="E19" s="1460"/>
      <c r="F19" s="1460"/>
      <c r="G19" s="1460"/>
      <c r="H19" s="1460"/>
      <c r="I19" s="1460"/>
      <c r="J19" s="1460"/>
      <c r="K19" s="1460"/>
      <c r="L19" s="1460"/>
      <c r="M19" s="1461"/>
      <c r="N19" s="1461"/>
      <c r="O19" s="1461"/>
      <c r="P19" s="1461"/>
      <c r="Q19" s="1461"/>
      <c r="R19" s="1461"/>
      <c r="S19" s="1461"/>
      <c r="T19" s="1462">
        <f>SUM(T7:T18)</f>
        <v>0</v>
      </c>
      <c r="U19" s="1462"/>
      <c r="V19" s="1462"/>
      <c r="W19" s="1462"/>
      <c r="X19" s="1462"/>
      <c r="Y19" s="1462">
        <f>SUM(Y7:Y18)</f>
        <v>0</v>
      </c>
      <c r="Z19" s="1462"/>
      <c r="AA19" s="1462"/>
      <c r="AB19" s="1462"/>
      <c r="AC19" s="1462"/>
      <c r="AD19" s="1462">
        <f t="shared" si="1"/>
        <v>0</v>
      </c>
      <c r="AE19" s="1462"/>
      <c r="AF19" s="1462"/>
      <c r="AG19" s="1462"/>
      <c r="AH19" s="1462"/>
      <c r="AI19" s="1462"/>
    </row>
    <row r="20" spans="2:42" ht="16.75" customHeight="1">
      <c r="B20" s="1454" t="s">
        <v>883</v>
      </c>
      <c r="C20" s="1457"/>
      <c r="D20" s="1458"/>
      <c r="E20" s="1458"/>
      <c r="F20" s="1458"/>
      <c r="G20" s="1458"/>
      <c r="H20" s="1458"/>
      <c r="I20" s="1458"/>
      <c r="J20" s="1458"/>
      <c r="K20" s="1458"/>
      <c r="L20" s="1458"/>
      <c r="M20" s="1467"/>
      <c r="N20" s="1467"/>
      <c r="O20" s="1467"/>
      <c r="P20" s="1467"/>
      <c r="Q20" s="1467"/>
      <c r="R20" s="1468"/>
      <c r="S20" s="1468"/>
      <c r="T20" s="1459"/>
      <c r="U20" s="1459"/>
      <c r="V20" s="1459"/>
      <c r="W20" s="1459"/>
      <c r="X20" s="1459"/>
      <c r="Y20" s="1459"/>
      <c r="Z20" s="1459"/>
      <c r="AA20" s="1459"/>
      <c r="AB20" s="1459"/>
      <c r="AC20" s="1459"/>
      <c r="AD20" s="1466">
        <f t="shared" si="1"/>
        <v>0</v>
      </c>
      <c r="AE20" s="1466"/>
      <c r="AF20" s="1466"/>
      <c r="AG20" s="1466"/>
      <c r="AH20" s="1466"/>
      <c r="AI20" s="1466"/>
    </row>
    <row r="21" spans="2:42" ht="16.75" customHeight="1">
      <c r="B21" s="1455"/>
      <c r="C21" s="1428"/>
      <c r="D21" s="1429"/>
      <c r="E21" s="1429"/>
      <c r="F21" s="1429"/>
      <c r="G21" s="1429"/>
      <c r="H21" s="1429"/>
      <c r="I21" s="1429"/>
      <c r="J21" s="1429"/>
      <c r="K21" s="1429"/>
      <c r="L21" s="1430"/>
      <c r="M21" s="1431"/>
      <c r="N21" s="1431"/>
      <c r="O21" s="1431"/>
      <c r="P21" s="1431"/>
      <c r="Q21" s="1431"/>
      <c r="R21" s="1432"/>
      <c r="S21" s="1432"/>
      <c r="T21" s="1426"/>
      <c r="U21" s="1426"/>
      <c r="V21" s="1426"/>
      <c r="W21" s="1426"/>
      <c r="X21" s="1426"/>
      <c r="Y21" s="1426"/>
      <c r="Z21" s="1426"/>
      <c r="AA21" s="1426"/>
      <c r="AB21" s="1426"/>
      <c r="AC21" s="1426"/>
      <c r="AD21" s="1427">
        <f t="shared" ref="AD21:AD27" si="4">T21+Y21</f>
        <v>0</v>
      </c>
      <c r="AE21" s="1427"/>
      <c r="AF21" s="1427"/>
      <c r="AG21" s="1427"/>
      <c r="AH21" s="1427"/>
      <c r="AI21" s="1427"/>
    </row>
    <row r="22" spans="2:42" ht="16.75" customHeight="1">
      <c r="B22" s="1455"/>
      <c r="C22" s="1428"/>
      <c r="D22" s="1429"/>
      <c r="E22" s="1429"/>
      <c r="F22" s="1429"/>
      <c r="G22" s="1429"/>
      <c r="H22" s="1429"/>
      <c r="I22" s="1429"/>
      <c r="J22" s="1429"/>
      <c r="K22" s="1429"/>
      <c r="L22" s="1430"/>
      <c r="M22" s="1431"/>
      <c r="N22" s="1431"/>
      <c r="O22" s="1431"/>
      <c r="P22" s="1431"/>
      <c r="Q22" s="1431"/>
      <c r="R22" s="1432"/>
      <c r="S22" s="1432"/>
      <c r="T22" s="1426"/>
      <c r="U22" s="1426"/>
      <c r="V22" s="1426"/>
      <c r="W22" s="1426"/>
      <c r="X22" s="1426"/>
      <c r="Y22" s="1426"/>
      <c r="Z22" s="1426"/>
      <c r="AA22" s="1426"/>
      <c r="AB22" s="1426"/>
      <c r="AC22" s="1426"/>
      <c r="AD22" s="1427">
        <f t="shared" si="4"/>
        <v>0</v>
      </c>
      <c r="AE22" s="1427"/>
      <c r="AF22" s="1427"/>
      <c r="AG22" s="1427"/>
      <c r="AH22" s="1427"/>
      <c r="AI22" s="1427"/>
    </row>
    <row r="23" spans="2:42" ht="16.75" customHeight="1">
      <c r="B23" s="1455"/>
      <c r="C23" s="1428"/>
      <c r="D23" s="1429"/>
      <c r="E23" s="1429"/>
      <c r="F23" s="1429"/>
      <c r="G23" s="1429"/>
      <c r="H23" s="1429"/>
      <c r="I23" s="1429"/>
      <c r="J23" s="1429"/>
      <c r="K23" s="1429"/>
      <c r="L23" s="1430"/>
      <c r="M23" s="1431"/>
      <c r="N23" s="1431"/>
      <c r="O23" s="1431"/>
      <c r="P23" s="1431"/>
      <c r="Q23" s="1431"/>
      <c r="R23" s="1432"/>
      <c r="S23" s="1432"/>
      <c r="T23" s="1426"/>
      <c r="U23" s="1426"/>
      <c r="V23" s="1426"/>
      <c r="W23" s="1426"/>
      <c r="X23" s="1426"/>
      <c r="Y23" s="1426"/>
      <c r="Z23" s="1426"/>
      <c r="AA23" s="1426"/>
      <c r="AB23" s="1426"/>
      <c r="AC23" s="1426"/>
      <c r="AD23" s="1427">
        <f t="shared" si="4"/>
        <v>0</v>
      </c>
      <c r="AE23" s="1427"/>
      <c r="AF23" s="1427"/>
      <c r="AG23" s="1427"/>
      <c r="AH23" s="1427"/>
      <c r="AI23" s="1427"/>
    </row>
    <row r="24" spans="2:42" ht="16.75" customHeight="1">
      <c r="B24" s="1455"/>
      <c r="C24" s="1428"/>
      <c r="D24" s="1429"/>
      <c r="E24" s="1429"/>
      <c r="F24" s="1429"/>
      <c r="G24" s="1429"/>
      <c r="H24" s="1429"/>
      <c r="I24" s="1429"/>
      <c r="J24" s="1429"/>
      <c r="K24" s="1429"/>
      <c r="L24" s="1430"/>
      <c r="M24" s="1431"/>
      <c r="N24" s="1431"/>
      <c r="O24" s="1431"/>
      <c r="P24" s="1431"/>
      <c r="Q24" s="1431"/>
      <c r="R24" s="1432"/>
      <c r="S24" s="1432"/>
      <c r="T24" s="1426"/>
      <c r="U24" s="1426"/>
      <c r="V24" s="1426"/>
      <c r="W24" s="1426"/>
      <c r="X24" s="1426"/>
      <c r="Y24" s="1426"/>
      <c r="Z24" s="1426"/>
      <c r="AA24" s="1426"/>
      <c r="AB24" s="1426"/>
      <c r="AC24" s="1426"/>
      <c r="AD24" s="1427">
        <f t="shared" si="4"/>
        <v>0</v>
      </c>
      <c r="AE24" s="1427"/>
      <c r="AF24" s="1427"/>
      <c r="AG24" s="1427"/>
      <c r="AH24" s="1427"/>
      <c r="AI24" s="1427"/>
    </row>
    <row r="25" spans="2:42" ht="16.75" customHeight="1">
      <c r="B25" s="1455"/>
      <c r="C25" s="1428"/>
      <c r="D25" s="1429"/>
      <c r="E25" s="1429"/>
      <c r="F25" s="1429"/>
      <c r="G25" s="1429"/>
      <c r="H25" s="1429"/>
      <c r="I25" s="1429"/>
      <c r="J25" s="1429"/>
      <c r="K25" s="1429"/>
      <c r="L25" s="1430"/>
      <c r="M25" s="1431"/>
      <c r="N25" s="1431"/>
      <c r="O25" s="1431"/>
      <c r="P25" s="1431"/>
      <c r="Q25" s="1431"/>
      <c r="R25" s="1432"/>
      <c r="S25" s="1432"/>
      <c r="T25" s="1426"/>
      <c r="U25" s="1426"/>
      <c r="V25" s="1426"/>
      <c r="W25" s="1426"/>
      <c r="X25" s="1426"/>
      <c r="Y25" s="1426"/>
      <c r="Z25" s="1426"/>
      <c r="AA25" s="1426"/>
      <c r="AB25" s="1426"/>
      <c r="AC25" s="1426"/>
      <c r="AD25" s="1427">
        <f t="shared" si="4"/>
        <v>0</v>
      </c>
      <c r="AE25" s="1427"/>
      <c r="AF25" s="1427"/>
      <c r="AG25" s="1427"/>
      <c r="AH25" s="1427"/>
      <c r="AI25" s="1427"/>
    </row>
    <row r="26" spans="2:42" ht="16.75" customHeight="1">
      <c r="B26" s="1455"/>
      <c r="C26" s="1428"/>
      <c r="D26" s="1429"/>
      <c r="E26" s="1429"/>
      <c r="F26" s="1429"/>
      <c r="G26" s="1429"/>
      <c r="H26" s="1429"/>
      <c r="I26" s="1429"/>
      <c r="J26" s="1429"/>
      <c r="K26" s="1429"/>
      <c r="L26" s="1430"/>
      <c r="M26" s="1431"/>
      <c r="N26" s="1431"/>
      <c r="O26" s="1431"/>
      <c r="P26" s="1431"/>
      <c r="Q26" s="1431"/>
      <c r="R26" s="1432"/>
      <c r="S26" s="1432"/>
      <c r="T26" s="1426"/>
      <c r="U26" s="1426"/>
      <c r="V26" s="1426"/>
      <c r="W26" s="1426"/>
      <c r="X26" s="1426"/>
      <c r="Y26" s="1426"/>
      <c r="Z26" s="1426"/>
      <c r="AA26" s="1426"/>
      <c r="AB26" s="1426"/>
      <c r="AC26" s="1426"/>
      <c r="AD26" s="1427">
        <f t="shared" si="4"/>
        <v>0</v>
      </c>
      <c r="AE26" s="1427"/>
      <c r="AF26" s="1427"/>
      <c r="AG26" s="1427"/>
      <c r="AH26" s="1427"/>
      <c r="AI26" s="1427"/>
    </row>
    <row r="27" spans="2:42" ht="16.75" customHeight="1">
      <c r="B27" s="1455"/>
      <c r="C27" s="1428"/>
      <c r="D27" s="1429"/>
      <c r="E27" s="1429"/>
      <c r="F27" s="1429"/>
      <c r="G27" s="1429"/>
      <c r="H27" s="1429"/>
      <c r="I27" s="1429"/>
      <c r="J27" s="1429"/>
      <c r="K27" s="1429"/>
      <c r="L27" s="1430"/>
      <c r="M27" s="1431"/>
      <c r="N27" s="1431"/>
      <c r="O27" s="1431"/>
      <c r="P27" s="1431"/>
      <c r="Q27" s="1431"/>
      <c r="R27" s="1432"/>
      <c r="S27" s="1432"/>
      <c r="T27" s="1426"/>
      <c r="U27" s="1426"/>
      <c r="V27" s="1426"/>
      <c r="W27" s="1426"/>
      <c r="X27" s="1426"/>
      <c r="Y27" s="1426"/>
      <c r="Z27" s="1426"/>
      <c r="AA27" s="1426"/>
      <c r="AB27" s="1426"/>
      <c r="AC27" s="1426"/>
      <c r="AD27" s="1427">
        <f t="shared" si="4"/>
        <v>0</v>
      </c>
      <c r="AE27" s="1427"/>
      <c r="AF27" s="1427"/>
      <c r="AG27" s="1427"/>
      <c r="AH27" s="1427"/>
      <c r="AI27" s="1427"/>
    </row>
    <row r="28" spans="2:42" ht="16.75" customHeight="1">
      <c r="B28" s="1455"/>
      <c r="C28" s="1428"/>
      <c r="D28" s="1429"/>
      <c r="E28" s="1429"/>
      <c r="F28" s="1429"/>
      <c r="G28" s="1429"/>
      <c r="H28" s="1429"/>
      <c r="I28" s="1429"/>
      <c r="J28" s="1429"/>
      <c r="K28" s="1429"/>
      <c r="L28" s="1430"/>
      <c r="M28" s="1431"/>
      <c r="N28" s="1431"/>
      <c r="O28" s="1431"/>
      <c r="P28" s="1431"/>
      <c r="Q28" s="1431"/>
      <c r="R28" s="1432"/>
      <c r="S28" s="1432"/>
      <c r="T28" s="1426"/>
      <c r="U28" s="1426"/>
      <c r="V28" s="1426"/>
      <c r="W28" s="1426"/>
      <c r="X28" s="1426"/>
      <c r="Y28" s="1426"/>
      <c r="Z28" s="1426"/>
      <c r="AA28" s="1426"/>
      <c r="AB28" s="1426"/>
      <c r="AC28" s="1426"/>
      <c r="AD28" s="1427">
        <f t="shared" si="1"/>
        <v>0</v>
      </c>
      <c r="AE28" s="1427"/>
      <c r="AF28" s="1427"/>
      <c r="AG28" s="1427"/>
      <c r="AH28" s="1427"/>
      <c r="AI28" s="1427"/>
    </row>
    <row r="29" spans="2:42" ht="16.75" customHeight="1">
      <c r="B29" s="1455"/>
      <c r="C29" s="1428"/>
      <c r="D29" s="1429"/>
      <c r="E29" s="1429"/>
      <c r="F29" s="1429"/>
      <c r="G29" s="1429"/>
      <c r="H29" s="1429"/>
      <c r="I29" s="1429"/>
      <c r="J29" s="1429"/>
      <c r="K29" s="1429"/>
      <c r="L29" s="1430"/>
      <c r="M29" s="1431"/>
      <c r="N29" s="1431"/>
      <c r="O29" s="1431"/>
      <c r="P29" s="1431"/>
      <c r="Q29" s="1431"/>
      <c r="R29" s="1432"/>
      <c r="S29" s="1432"/>
      <c r="T29" s="1426"/>
      <c r="U29" s="1426"/>
      <c r="V29" s="1426"/>
      <c r="W29" s="1426"/>
      <c r="X29" s="1426"/>
      <c r="Y29" s="1426"/>
      <c r="Z29" s="1426"/>
      <c r="AA29" s="1426"/>
      <c r="AB29" s="1426"/>
      <c r="AC29" s="1426"/>
      <c r="AD29" s="1427">
        <f t="shared" si="1"/>
        <v>0</v>
      </c>
      <c r="AE29" s="1427"/>
      <c r="AF29" s="1427"/>
      <c r="AG29" s="1427"/>
      <c r="AH29" s="1427"/>
      <c r="AI29" s="1427"/>
    </row>
    <row r="30" spans="2:42" ht="16.75" customHeight="1">
      <c r="B30" s="1455"/>
      <c r="C30" s="1471" t="s">
        <v>1009</v>
      </c>
      <c r="D30" s="1472"/>
      <c r="E30" s="1472"/>
      <c r="F30" s="1472"/>
      <c r="G30" s="1472"/>
      <c r="H30" s="1472"/>
      <c r="I30" s="1472"/>
      <c r="J30" s="1472"/>
      <c r="K30" s="1472"/>
      <c r="L30" s="1472"/>
      <c r="M30" s="1473"/>
      <c r="N30" s="1473"/>
      <c r="O30" s="1473"/>
      <c r="P30" s="1473"/>
      <c r="Q30" s="1473"/>
      <c r="R30" s="1474"/>
      <c r="S30" s="1474"/>
      <c r="T30" s="1475"/>
      <c r="U30" s="1475"/>
      <c r="V30" s="1475"/>
      <c r="W30" s="1475"/>
      <c r="X30" s="1475"/>
      <c r="Y30" s="1475"/>
      <c r="Z30" s="1475"/>
      <c r="AA30" s="1475"/>
      <c r="AB30" s="1475"/>
      <c r="AC30" s="1475"/>
      <c r="AD30" s="1476">
        <f>T30+Y30</f>
        <v>0</v>
      </c>
      <c r="AE30" s="1476"/>
      <c r="AF30" s="1476"/>
      <c r="AG30" s="1476"/>
      <c r="AH30" s="1476"/>
      <c r="AI30" s="1476"/>
    </row>
    <row r="31" spans="2:42" ht="18" customHeight="1">
      <c r="B31" s="1456"/>
      <c r="C31" s="1460" t="s">
        <v>581</v>
      </c>
      <c r="D31" s="1460"/>
      <c r="E31" s="1460"/>
      <c r="F31" s="1460"/>
      <c r="G31" s="1460"/>
      <c r="H31" s="1460"/>
      <c r="I31" s="1460"/>
      <c r="J31" s="1460"/>
      <c r="K31" s="1460"/>
      <c r="L31" s="1460"/>
      <c r="M31" s="1461"/>
      <c r="N31" s="1461"/>
      <c r="O31" s="1461"/>
      <c r="P31" s="1461"/>
      <c r="Q31" s="1461"/>
      <c r="R31" s="1461"/>
      <c r="S31" s="1461"/>
      <c r="T31" s="1462">
        <f>SUM(T20:T30)</f>
        <v>0</v>
      </c>
      <c r="U31" s="1462"/>
      <c r="V31" s="1462"/>
      <c r="W31" s="1462"/>
      <c r="X31" s="1462"/>
      <c r="Y31" s="1462">
        <f>SUM(Y20:Y30)</f>
        <v>0</v>
      </c>
      <c r="Z31" s="1462"/>
      <c r="AA31" s="1462"/>
      <c r="AB31" s="1462"/>
      <c r="AC31" s="1462"/>
      <c r="AD31" s="1462">
        <f t="shared" si="1"/>
        <v>0</v>
      </c>
      <c r="AE31" s="1462"/>
      <c r="AF31" s="1462"/>
      <c r="AG31" s="1462"/>
      <c r="AH31" s="1462"/>
      <c r="AI31" s="1462"/>
      <c r="AP31" s="766"/>
    </row>
    <row r="32" spans="2:42" ht="18" customHeight="1">
      <c r="B32" s="1469" t="s">
        <v>72</v>
      </c>
      <c r="C32" s="1469"/>
      <c r="D32" s="1469"/>
      <c r="E32" s="1469"/>
      <c r="F32" s="1469"/>
      <c r="G32" s="1469"/>
      <c r="H32" s="1469"/>
      <c r="I32" s="1469"/>
      <c r="J32" s="1469"/>
      <c r="K32" s="1469"/>
      <c r="L32" s="1469"/>
      <c r="M32" s="1470" t="s">
        <v>809</v>
      </c>
      <c r="N32" s="1470"/>
      <c r="O32" s="1470"/>
      <c r="P32" s="1470"/>
      <c r="Q32" s="1470"/>
      <c r="R32" s="1470"/>
      <c r="S32" s="1470"/>
      <c r="T32" s="1470"/>
      <c r="U32" s="1470"/>
      <c r="V32" s="1470"/>
      <c r="W32" s="1470"/>
      <c r="X32" s="1470"/>
      <c r="Y32" s="1470"/>
      <c r="Z32" s="1470"/>
      <c r="AA32" s="1470"/>
      <c r="AB32" s="1470"/>
      <c r="AC32" s="1470"/>
      <c r="AD32" s="1462">
        <f>AD19+AD31</f>
        <v>0</v>
      </c>
      <c r="AE32" s="1462"/>
      <c r="AF32" s="1462"/>
      <c r="AG32" s="1462"/>
      <c r="AH32" s="1462"/>
      <c r="AI32" s="1462"/>
    </row>
    <row r="33" spans="1:35" ht="18" customHeight="1">
      <c r="B33" s="1469" t="s">
        <v>583</v>
      </c>
      <c r="C33" s="1469"/>
      <c r="D33" s="1469"/>
      <c r="E33" s="1469"/>
      <c r="F33" s="1469"/>
      <c r="G33" s="1469"/>
      <c r="H33" s="1469"/>
      <c r="I33" s="1469"/>
      <c r="J33" s="1469"/>
      <c r="K33" s="1469"/>
      <c r="L33" s="1469"/>
      <c r="M33" s="1470"/>
      <c r="N33" s="1470"/>
      <c r="O33" s="1470"/>
      <c r="P33" s="1470"/>
      <c r="Q33" s="1470"/>
      <c r="R33" s="1470"/>
      <c r="S33" s="1470"/>
      <c r="T33" s="1470"/>
      <c r="U33" s="1470"/>
      <c r="V33" s="1470"/>
      <c r="W33" s="1470"/>
      <c r="X33" s="1470"/>
      <c r="Y33" s="1470"/>
      <c r="Z33" s="1470"/>
      <c r="AA33" s="1470"/>
      <c r="AB33" s="1470"/>
      <c r="AC33" s="1470"/>
      <c r="AD33" s="1462">
        <f>ROUNDDOWN(AD32*0.1,0)</f>
        <v>0</v>
      </c>
      <c r="AE33" s="1462"/>
      <c r="AF33" s="1462"/>
      <c r="AG33" s="1462"/>
      <c r="AH33" s="1462"/>
      <c r="AI33" s="1462"/>
    </row>
    <row r="34" spans="1:35" ht="18" customHeight="1">
      <c r="B34" s="1469" t="s">
        <v>584</v>
      </c>
      <c r="C34" s="1469"/>
      <c r="D34" s="1469"/>
      <c r="E34" s="1469"/>
      <c r="F34" s="1469"/>
      <c r="G34" s="1469"/>
      <c r="H34" s="1469"/>
      <c r="I34" s="1469"/>
      <c r="J34" s="1469"/>
      <c r="K34" s="1469"/>
      <c r="L34" s="1469"/>
      <c r="M34" s="1470" t="s">
        <v>810</v>
      </c>
      <c r="N34" s="1470"/>
      <c r="O34" s="1470"/>
      <c r="P34" s="1470"/>
      <c r="Q34" s="1470"/>
      <c r="R34" s="1470"/>
      <c r="S34" s="1470"/>
      <c r="T34" s="1470"/>
      <c r="U34" s="1470"/>
      <c r="V34" s="1470"/>
      <c r="W34" s="1470"/>
      <c r="X34" s="1470"/>
      <c r="Y34" s="1470"/>
      <c r="Z34" s="1470"/>
      <c r="AA34" s="1470"/>
      <c r="AB34" s="1470"/>
      <c r="AC34" s="1470"/>
      <c r="AD34" s="1462">
        <f>AD32+AD33</f>
        <v>0</v>
      </c>
      <c r="AE34" s="1462"/>
      <c r="AF34" s="1462"/>
      <c r="AG34" s="1462"/>
      <c r="AH34" s="1462"/>
      <c r="AI34" s="1462"/>
    </row>
    <row r="35" spans="1:35" s="763" customFormat="1" ht="13">
      <c r="A35" s="1489" t="s">
        <v>1032</v>
      </c>
      <c r="B35" s="1489"/>
      <c r="C35" s="1490" t="s">
        <v>1033</v>
      </c>
      <c r="D35" s="1490"/>
      <c r="E35" s="1490"/>
      <c r="F35" s="1490"/>
      <c r="G35" s="1490"/>
      <c r="H35" s="1490"/>
      <c r="I35" s="1490"/>
      <c r="J35" s="1490"/>
      <c r="K35" s="1490"/>
      <c r="L35" s="1490"/>
      <c r="M35" s="1490"/>
      <c r="N35" s="1490"/>
      <c r="O35" s="1490"/>
      <c r="P35" s="1490"/>
      <c r="Q35" s="1490"/>
      <c r="R35" s="1490"/>
      <c r="S35" s="1490"/>
      <c r="T35" s="1490"/>
      <c r="U35" s="1490"/>
      <c r="V35" s="1490"/>
      <c r="W35" s="1490"/>
      <c r="X35" s="1490"/>
      <c r="Y35" s="1490"/>
      <c r="Z35" s="1490"/>
      <c r="AA35" s="1490"/>
      <c r="AB35" s="1490"/>
      <c r="AC35" s="1490"/>
      <c r="AD35" s="1490"/>
      <c r="AE35" s="1490"/>
      <c r="AF35" s="1490"/>
      <c r="AG35" s="1490"/>
      <c r="AH35" s="1490"/>
      <c r="AI35" s="768"/>
    </row>
    <row r="36" spans="1:35" ht="20.149999999999999" customHeight="1">
      <c r="A36" s="242"/>
      <c r="B36" s="242"/>
      <c r="C36" s="1491" t="s">
        <v>1034</v>
      </c>
      <c r="D36" s="1491"/>
      <c r="E36" s="1491"/>
      <c r="F36" s="1491"/>
      <c r="G36" s="1491"/>
      <c r="H36" s="1491"/>
      <c r="I36" s="1491"/>
      <c r="J36" s="1491"/>
      <c r="K36" s="1491"/>
      <c r="L36" s="1491"/>
      <c r="M36" s="1491"/>
      <c r="N36" s="1491"/>
      <c r="O36" s="1491"/>
      <c r="P36" s="1491"/>
      <c r="Q36" s="1491"/>
      <c r="R36" s="1491"/>
      <c r="S36" s="1491"/>
      <c r="T36" s="1491"/>
      <c r="U36" s="1491"/>
      <c r="V36" s="1491"/>
      <c r="W36" s="1491"/>
      <c r="X36" s="1491"/>
      <c r="Y36" s="1491"/>
      <c r="Z36" s="1491"/>
      <c r="AA36" s="1491"/>
      <c r="AB36" s="1491"/>
      <c r="AC36" s="1491"/>
      <c r="AD36" s="1491"/>
      <c r="AE36" s="1491"/>
      <c r="AF36" s="1491"/>
      <c r="AG36" s="1491"/>
      <c r="AH36" s="1491"/>
    </row>
    <row r="37" spans="1:35" ht="20.149999999999999" customHeight="1">
      <c r="A37" s="763"/>
      <c r="B37" s="767"/>
      <c r="C37" s="767"/>
      <c r="D37" s="768"/>
      <c r="E37" s="768"/>
      <c r="F37" s="768"/>
      <c r="G37" s="768"/>
      <c r="H37" s="768"/>
      <c r="I37" s="768"/>
      <c r="J37" s="768"/>
      <c r="K37" s="768"/>
      <c r="L37" s="768"/>
      <c r="M37" s="768"/>
      <c r="N37" s="768"/>
      <c r="O37" s="768"/>
      <c r="P37" s="768"/>
      <c r="Q37" s="768"/>
      <c r="R37" s="768"/>
      <c r="S37" s="768"/>
      <c r="T37" s="768"/>
      <c r="U37" s="768"/>
      <c r="V37" s="768"/>
      <c r="W37" s="768"/>
      <c r="X37" s="768"/>
      <c r="Y37" s="768"/>
      <c r="Z37" s="768"/>
      <c r="AA37" s="768"/>
      <c r="AB37" s="768"/>
      <c r="AC37" s="768"/>
      <c r="AD37" s="768"/>
      <c r="AE37" s="768"/>
      <c r="AF37" s="768"/>
      <c r="AG37" s="768"/>
      <c r="AH37" s="768"/>
    </row>
    <row r="38" spans="1:35" ht="14">
      <c r="B38" s="764" t="s">
        <v>1010</v>
      </c>
      <c r="E38" s="763"/>
    </row>
    <row r="39" spans="1:35" s="771" customFormat="1" ht="20.149999999999999" customHeight="1">
      <c r="A39" s="571"/>
      <c r="B39" s="769" t="s">
        <v>811</v>
      </c>
      <c r="C39" s="768"/>
      <c r="D39" s="768"/>
      <c r="E39" s="768"/>
      <c r="F39" s="768"/>
      <c r="G39" s="768"/>
      <c r="H39" s="768"/>
      <c r="I39" s="768"/>
      <c r="J39" s="768"/>
      <c r="K39" s="768"/>
      <c r="L39" s="768"/>
      <c r="M39" s="768"/>
      <c r="N39" s="768"/>
      <c r="O39" s="768"/>
      <c r="P39" s="768"/>
      <c r="Q39" s="761"/>
      <c r="R39" s="761"/>
      <c r="S39" s="571"/>
      <c r="T39" s="571"/>
      <c r="U39" s="571"/>
      <c r="V39" s="571"/>
      <c r="W39" s="571"/>
      <c r="X39" s="571"/>
      <c r="Y39" s="571"/>
      <c r="Z39" s="571"/>
      <c r="AA39" s="571"/>
      <c r="AB39" s="571"/>
      <c r="AC39" s="571"/>
      <c r="AD39" s="571"/>
      <c r="AE39" s="571"/>
      <c r="AF39" s="571"/>
      <c r="AG39" s="571"/>
      <c r="AH39" s="571"/>
    </row>
    <row r="40" spans="1:35" ht="20.149999999999999" customHeight="1">
      <c r="B40" s="1479">
        <v>3000000</v>
      </c>
      <c r="C40" s="1480"/>
      <c r="D40" s="1480"/>
      <c r="E40" s="1480"/>
      <c r="F40" s="1481"/>
      <c r="Q40" s="572"/>
      <c r="R40" s="572"/>
    </row>
    <row r="41" spans="1:35" s="779" customFormat="1" ht="20.149999999999999" customHeight="1">
      <c r="A41" s="571"/>
      <c r="B41" s="770"/>
      <c r="C41" s="770"/>
      <c r="D41" s="770"/>
      <c r="E41" s="770"/>
      <c r="F41" s="770"/>
      <c r="G41" s="571"/>
      <c r="H41" s="571"/>
      <c r="I41" s="571"/>
      <c r="J41" s="571"/>
      <c r="K41" s="571"/>
      <c r="L41" s="571"/>
      <c r="M41" s="571"/>
      <c r="N41" s="571"/>
      <c r="O41" s="571"/>
      <c r="P41" s="571"/>
      <c r="Q41" s="572"/>
      <c r="R41" s="572"/>
      <c r="S41" s="571"/>
      <c r="T41" s="571"/>
      <c r="U41" s="571"/>
      <c r="V41" s="763"/>
      <c r="W41" s="763"/>
      <c r="X41" s="763"/>
      <c r="Y41" s="763"/>
      <c r="Z41" s="763"/>
      <c r="AA41" s="763"/>
      <c r="AB41" s="763"/>
      <c r="AC41" s="763"/>
      <c r="AD41" s="763"/>
      <c r="AE41" s="571"/>
      <c r="AF41" s="571"/>
      <c r="AG41" s="571"/>
      <c r="AH41" s="571"/>
    </row>
    <row r="42" spans="1:35" ht="14.5" thickBot="1">
      <c r="A42" s="771"/>
      <c r="B42" s="769" t="s">
        <v>813</v>
      </c>
      <c r="C42" s="771"/>
      <c r="D42" s="771"/>
      <c r="E42" s="771"/>
      <c r="F42" s="771"/>
      <c r="G42" s="771"/>
      <c r="H42" s="771"/>
      <c r="I42" s="771"/>
      <c r="J42" s="771"/>
      <c r="K42" s="771"/>
      <c r="L42" s="771"/>
      <c r="M42" s="771"/>
      <c r="N42" s="771"/>
      <c r="O42" s="771"/>
      <c r="P42" s="771"/>
      <c r="Q42" s="772"/>
      <c r="R42" s="772"/>
      <c r="S42" s="771"/>
      <c r="T42" s="771"/>
      <c r="V42" s="771"/>
      <c r="W42" s="1482" t="s">
        <v>1011</v>
      </c>
      <c r="X42" s="1482"/>
      <c r="Y42" s="1482"/>
      <c r="Z42" s="1482"/>
      <c r="AA42" s="1482"/>
      <c r="AB42" s="1482"/>
      <c r="AC42" s="771"/>
      <c r="AD42" s="771"/>
      <c r="AE42" s="771"/>
      <c r="AF42" s="771"/>
      <c r="AG42" s="771"/>
      <c r="AH42" s="771"/>
    </row>
    <row r="43" spans="1:35" s="771" customFormat="1" ht="18" customHeight="1" thickBot="1">
      <c r="A43" s="571"/>
      <c r="B43" s="1479">
        <f>AD19</f>
        <v>0</v>
      </c>
      <c r="C43" s="1480"/>
      <c r="D43" s="1480"/>
      <c r="E43" s="1480"/>
      <c r="F43" s="1481"/>
      <c r="G43" s="773" t="s">
        <v>585</v>
      </c>
      <c r="H43" s="1483">
        <v>0.33333333333333331</v>
      </c>
      <c r="I43" s="1484"/>
      <c r="J43" s="1485"/>
      <c r="K43" s="773" t="s">
        <v>586</v>
      </c>
      <c r="L43" s="1479">
        <f>ROUNDDOWN(B43*H43,-4)</f>
        <v>0</v>
      </c>
      <c r="M43" s="1480"/>
      <c r="N43" s="1480"/>
      <c r="O43" s="1480"/>
      <c r="P43" s="1481"/>
      <c r="Q43" s="572"/>
      <c r="R43" s="572"/>
      <c r="S43" s="571"/>
      <c r="T43" s="571"/>
      <c r="U43" s="571"/>
      <c r="V43" s="571"/>
      <c r="W43" s="1486">
        <f>MIN(B40,L43)</f>
        <v>0</v>
      </c>
      <c r="X43" s="1487"/>
      <c r="Y43" s="1487"/>
      <c r="Z43" s="1487"/>
      <c r="AA43" s="1487"/>
      <c r="AB43" s="1488"/>
      <c r="AD43" s="571"/>
      <c r="AE43" s="571"/>
      <c r="AF43" s="571"/>
      <c r="AG43" s="571"/>
      <c r="AH43" s="571"/>
    </row>
    <row r="44" spans="1:35" ht="18" customHeight="1">
      <c r="A44" s="779"/>
      <c r="B44" s="1477" t="s">
        <v>814</v>
      </c>
      <c r="C44" s="1477"/>
      <c r="D44" s="1477"/>
      <c r="E44" s="1477"/>
      <c r="F44" s="1477"/>
      <c r="G44" s="774"/>
      <c r="H44" s="775"/>
      <c r="I44" s="775"/>
      <c r="J44" s="775"/>
      <c r="K44" s="776"/>
      <c r="L44" s="777"/>
      <c r="M44" s="777"/>
      <c r="N44" s="777"/>
      <c r="O44" s="777"/>
      <c r="P44" s="777"/>
      <c r="Q44" s="778"/>
      <c r="R44" s="778"/>
      <c r="S44" s="779"/>
      <c r="T44" s="779"/>
      <c r="U44" s="771"/>
      <c r="V44" s="779"/>
      <c r="W44" s="1478" t="s">
        <v>815</v>
      </c>
      <c r="X44" s="1478"/>
      <c r="Y44" s="1478"/>
      <c r="Z44" s="1478"/>
      <c r="AA44" s="1478"/>
      <c r="AB44" s="1478"/>
      <c r="AC44" s="771"/>
      <c r="AD44" s="779"/>
      <c r="AE44" s="779"/>
      <c r="AF44" s="779"/>
      <c r="AG44" s="779"/>
      <c r="AH44" s="779"/>
    </row>
    <row r="45" spans="1:35" s="779" customFormat="1" ht="15.5">
      <c r="A45" s="571"/>
      <c r="B45" s="770"/>
      <c r="C45" s="770"/>
      <c r="D45" s="770"/>
      <c r="E45" s="770"/>
      <c r="F45" s="770"/>
      <c r="G45" s="780"/>
      <c r="H45" s="781"/>
      <c r="I45" s="781"/>
      <c r="J45" s="781"/>
      <c r="K45" s="782"/>
      <c r="L45" s="770"/>
      <c r="M45" s="770"/>
      <c r="N45" s="770"/>
      <c r="O45" s="770"/>
      <c r="P45" s="770"/>
      <c r="Q45" s="572"/>
      <c r="R45" s="572"/>
      <c r="S45" s="571"/>
      <c r="T45" s="571"/>
      <c r="U45" s="571"/>
      <c r="V45" s="771"/>
      <c r="W45" s="771"/>
      <c r="X45" s="771"/>
      <c r="Y45" s="771"/>
      <c r="Z45" s="771"/>
      <c r="AA45" s="771"/>
      <c r="AB45" s="771"/>
      <c r="AC45" s="771"/>
      <c r="AD45" s="771"/>
      <c r="AE45" s="571"/>
      <c r="AF45" s="571"/>
      <c r="AG45" s="571"/>
      <c r="AH45" s="571"/>
    </row>
    <row r="46" spans="1:35" ht="9" customHeight="1">
      <c r="A46" s="771"/>
      <c r="B46" s="771"/>
      <c r="C46" s="771"/>
      <c r="D46" s="771"/>
      <c r="E46" s="771"/>
      <c r="F46" s="771"/>
      <c r="G46" s="771"/>
      <c r="H46" s="771"/>
      <c r="I46" s="771"/>
      <c r="J46" s="771"/>
      <c r="K46" s="771"/>
      <c r="L46" s="771"/>
      <c r="M46" s="771"/>
      <c r="N46" s="771"/>
      <c r="O46" s="771"/>
      <c r="P46" s="771"/>
      <c r="Q46" s="772"/>
      <c r="R46" s="772"/>
      <c r="S46" s="771"/>
      <c r="T46" s="771"/>
      <c r="U46" s="771"/>
      <c r="V46" s="771"/>
      <c r="W46" s="771"/>
      <c r="X46" s="771"/>
      <c r="Y46" s="771"/>
      <c r="Z46" s="771"/>
      <c r="AA46" s="771"/>
      <c r="AB46" s="771"/>
      <c r="AC46" s="771"/>
      <c r="AD46" s="771"/>
      <c r="AE46" s="771"/>
      <c r="AF46" s="771"/>
      <c r="AG46" s="771"/>
      <c r="AH46" s="771"/>
    </row>
    <row r="47" spans="1:35" s="771" customFormat="1" ht="18" customHeight="1">
      <c r="A47" s="571"/>
      <c r="B47" s="571"/>
      <c r="C47" s="571"/>
      <c r="D47" s="571"/>
      <c r="E47" s="571"/>
      <c r="F47" s="571"/>
      <c r="G47" s="571"/>
      <c r="H47" s="571"/>
      <c r="I47" s="571"/>
      <c r="J47" s="571"/>
      <c r="K47" s="571"/>
      <c r="L47" s="571"/>
      <c r="M47" s="571"/>
      <c r="N47" s="571"/>
      <c r="O47" s="571"/>
      <c r="P47" s="571"/>
      <c r="Q47" s="572"/>
      <c r="R47" s="572"/>
      <c r="S47" s="571"/>
      <c r="T47" s="571"/>
      <c r="U47" s="571"/>
      <c r="V47" s="571"/>
      <c r="W47" s="571"/>
      <c r="X47" s="571"/>
      <c r="Y47" s="571"/>
      <c r="Z47" s="571"/>
      <c r="AA47" s="571"/>
      <c r="AB47" s="571"/>
      <c r="AC47" s="571"/>
      <c r="AD47" s="571"/>
      <c r="AE47" s="571"/>
      <c r="AF47" s="571"/>
      <c r="AG47" s="571"/>
      <c r="AH47" s="571"/>
    </row>
    <row r="48" spans="1:35" ht="18" customHeight="1">
      <c r="A48" s="779"/>
      <c r="B48" s="779"/>
      <c r="C48" s="779"/>
      <c r="D48" s="779"/>
      <c r="E48" s="779"/>
      <c r="F48" s="779"/>
      <c r="G48" s="779"/>
      <c r="H48" s="779"/>
      <c r="I48" s="779"/>
      <c r="J48" s="779"/>
      <c r="K48" s="779"/>
      <c r="L48" s="779"/>
      <c r="M48" s="779"/>
      <c r="N48" s="779"/>
      <c r="O48" s="779"/>
      <c r="P48" s="779"/>
      <c r="Q48" s="778"/>
      <c r="R48" s="778"/>
      <c r="S48" s="779"/>
      <c r="T48" s="779"/>
      <c r="U48" s="779"/>
      <c r="V48" s="779"/>
      <c r="W48" s="779"/>
      <c r="X48" s="779"/>
      <c r="Y48" s="779"/>
      <c r="Z48" s="779"/>
      <c r="AA48" s="779"/>
      <c r="AB48" s="779"/>
      <c r="AC48" s="779"/>
      <c r="AD48" s="779"/>
      <c r="AE48" s="779"/>
      <c r="AF48" s="779"/>
      <c r="AG48" s="779"/>
      <c r="AH48" s="779"/>
    </row>
    <row r="49" spans="1:34" ht="15.5">
      <c r="B49" s="770"/>
      <c r="C49" s="770"/>
      <c r="D49" s="770"/>
      <c r="E49" s="770"/>
      <c r="F49" s="770"/>
      <c r="G49" s="770"/>
      <c r="Q49" s="572"/>
      <c r="R49" s="572"/>
    </row>
    <row r="50" spans="1:34" ht="18" customHeight="1">
      <c r="A50" s="771"/>
      <c r="B50" s="771"/>
      <c r="C50" s="771"/>
      <c r="D50" s="771"/>
      <c r="E50" s="771"/>
      <c r="F50" s="771"/>
      <c r="G50" s="771"/>
      <c r="H50" s="771"/>
      <c r="I50" s="771"/>
      <c r="J50" s="771"/>
      <c r="K50" s="771"/>
      <c r="L50" s="771"/>
      <c r="M50" s="771"/>
      <c r="N50" s="771"/>
      <c r="O50" s="771"/>
      <c r="P50" s="771"/>
      <c r="Q50" s="772"/>
      <c r="R50" s="772"/>
      <c r="S50" s="771"/>
      <c r="T50" s="771"/>
      <c r="U50" s="771"/>
      <c r="V50" s="771"/>
      <c r="W50" s="771"/>
      <c r="X50" s="771"/>
      <c r="Y50" s="771"/>
      <c r="Z50" s="771"/>
      <c r="AA50" s="771"/>
      <c r="AB50" s="771"/>
      <c r="AC50" s="771"/>
      <c r="AD50" s="771"/>
      <c r="AE50" s="771"/>
      <c r="AF50" s="771"/>
      <c r="AG50" s="771"/>
      <c r="AH50" s="771"/>
    </row>
    <row r="51" spans="1:34" ht="18" customHeight="1">
      <c r="Q51" s="572"/>
      <c r="R51" s="572"/>
    </row>
    <row r="52" spans="1:34" ht="18" customHeight="1">
      <c r="Q52" s="572"/>
      <c r="R52" s="572"/>
    </row>
    <row r="53" spans="1:34" ht="18" customHeight="1">
      <c r="Q53" s="572"/>
      <c r="R53" s="572"/>
    </row>
    <row r="54" spans="1:34" ht="18" customHeight="1">
      <c r="Q54" s="572"/>
      <c r="R54" s="572"/>
    </row>
    <row r="55" spans="1:34" ht="18" customHeight="1">
      <c r="R55" s="572"/>
    </row>
    <row r="56" spans="1:34" ht="18" customHeight="1">
      <c r="R56" s="572"/>
    </row>
    <row r="57" spans="1:34" ht="18" customHeight="1">
      <c r="R57" s="572"/>
    </row>
    <row r="58" spans="1:34" ht="18" customHeight="1">
      <c r="R58" s="572"/>
    </row>
  </sheetData>
  <sheetProtection password="D73A" sheet="1" objects="1" formatCells="0" insertRows="0"/>
  <mergeCells count="180">
    <mergeCell ref="B44:F44"/>
    <mergeCell ref="W44:AB44"/>
    <mergeCell ref="B34:L34"/>
    <mergeCell ref="M34:AC34"/>
    <mergeCell ref="AD34:AI34"/>
    <mergeCell ref="B40:F40"/>
    <mergeCell ref="W42:AB42"/>
    <mergeCell ref="B43:F43"/>
    <mergeCell ref="H43:J43"/>
    <mergeCell ref="L43:P43"/>
    <mergeCell ref="W43:AB43"/>
    <mergeCell ref="A35:B35"/>
    <mergeCell ref="C35:AH35"/>
    <mergeCell ref="C36:AH36"/>
    <mergeCell ref="B32:L32"/>
    <mergeCell ref="M32:AC32"/>
    <mergeCell ref="AD32:AI32"/>
    <mergeCell ref="B33:L33"/>
    <mergeCell ref="M33:AC33"/>
    <mergeCell ref="AD33:AI33"/>
    <mergeCell ref="C31:L31"/>
    <mergeCell ref="M31:Q31"/>
    <mergeCell ref="R31:S31"/>
    <mergeCell ref="T31:X31"/>
    <mergeCell ref="Y31:AC31"/>
    <mergeCell ref="AD31:AI31"/>
    <mergeCell ref="B20:B31"/>
    <mergeCell ref="C30:L30"/>
    <mergeCell ref="M30:Q30"/>
    <mergeCell ref="R30:S30"/>
    <mergeCell ref="T30:X30"/>
    <mergeCell ref="Y30:AC30"/>
    <mergeCell ref="AD30:AI30"/>
    <mergeCell ref="C29:L29"/>
    <mergeCell ref="M29:Q29"/>
    <mergeCell ref="R29:S29"/>
    <mergeCell ref="T29:X29"/>
    <mergeCell ref="Y29:AC29"/>
    <mergeCell ref="AD29:AI29"/>
    <mergeCell ref="Y27:AC27"/>
    <mergeCell ref="AD27:AI27"/>
    <mergeCell ref="C28:L28"/>
    <mergeCell ref="M28:Q28"/>
    <mergeCell ref="R28:S28"/>
    <mergeCell ref="T28:X28"/>
    <mergeCell ref="Y28:AC28"/>
    <mergeCell ref="AD28:AI28"/>
    <mergeCell ref="C27:L27"/>
    <mergeCell ref="M27:Q27"/>
    <mergeCell ref="R27:S27"/>
    <mergeCell ref="T27:X27"/>
    <mergeCell ref="AD20:AI20"/>
    <mergeCell ref="C26:L26"/>
    <mergeCell ref="M26:Q26"/>
    <mergeCell ref="R26:S26"/>
    <mergeCell ref="T26:X26"/>
    <mergeCell ref="Y26:AC26"/>
    <mergeCell ref="AD26:AI26"/>
    <mergeCell ref="C20:L20"/>
    <mergeCell ref="M20:Q20"/>
    <mergeCell ref="R20:S20"/>
    <mergeCell ref="T20:X20"/>
    <mergeCell ref="Y20:AC20"/>
    <mergeCell ref="C21:L21"/>
    <mergeCell ref="M21:Q21"/>
    <mergeCell ref="R21:S21"/>
    <mergeCell ref="T21:X21"/>
    <mergeCell ref="Y21:AC21"/>
    <mergeCell ref="AD21:AI21"/>
    <mergeCell ref="C24:L24"/>
    <mergeCell ref="M24:Q24"/>
    <mergeCell ref="R24:S24"/>
    <mergeCell ref="T24:X24"/>
    <mergeCell ref="Y24:AC24"/>
    <mergeCell ref="AD24:AI24"/>
    <mergeCell ref="C19:L19"/>
    <mergeCell ref="M19:Q19"/>
    <mergeCell ref="R19:S19"/>
    <mergeCell ref="T19:X19"/>
    <mergeCell ref="Y19:AC19"/>
    <mergeCell ref="AD19:AI19"/>
    <mergeCell ref="C18:L18"/>
    <mergeCell ref="M18:Q18"/>
    <mergeCell ref="R18:S18"/>
    <mergeCell ref="T18:X18"/>
    <mergeCell ref="Y18:AC18"/>
    <mergeCell ref="AD18:AI18"/>
    <mergeCell ref="C14:L14"/>
    <mergeCell ref="M14:Q14"/>
    <mergeCell ref="R14:S14"/>
    <mergeCell ref="T14:X14"/>
    <mergeCell ref="Y14:AC14"/>
    <mergeCell ref="AD14:AI14"/>
    <mergeCell ref="C17:L17"/>
    <mergeCell ref="M17:Q17"/>
    <mergeCell ref="R17:S17"/>
    <mergeCell ref="T17:X17"/>
    <mergeCell ref="Y17:AC17"/>
    <mergeCell ref="AD17:AI17"/>
    <mergeCell ref="C16:L16"/>
    <mergeCell ref="M16:Q16"/>
    <mergeCell ref="R16:S16"/>
    <mergeCell ref="T16:X16"/>
    <mergeCell ref="Y16:AC16"/>
    <mergeCell ref="AD16:AI16"/>
    <mergeCell ref="C8:L8"/>
    <mergeCell ref="M8:Q8"/>
    <mergeCell ref="R8:S8"/>
    <mergeCell ref="T8:X8"/>
    <mergeCell ref="Y8:AC8"/>
    <mergeCell ref="AD8:AI8"/>
    <mergeCell ref="B7:B19"/>
    <mergeCell ref="C7:L7"/>
    <mergeCell ref="M7:Q7"/>
    <mergeCell ref="R7:S7"/>
    <mergeCell ref="T7:X7"/>
    <mergeCell ref="Y7:AC7"/>
    <mergeCell ref="C9:L9"/>
    <mergeCell ref="M9:Q9"/>
    <mergeCell ref="R9:S9"/>
    <mergeCell ref="T9:X9"/>
    <mergeCell ref="C15:L15"/>
    <mergeCell ref="M15:Q15"/>
    <mergeCell ref="R15:S15"/>
    <mergeCell ref="T15:X15"/>
    <mergeCell ref="Y15:AC15"/>
    <mergeCell ref="AD15:AI15"/>
    <mergeCell ref="Y9:AC9"/>
    <mergeCell ref="AD9:AI9"/>
    <mergeCell ref="A2:AJ2"/>
    <mergeCell ref="B5:L6"/>
    <mergeCell ref="M5:X5"/>
    <mergeCell ref="Y5:AC6"/>
    <mergeCell ref="AD5:AI6"/>
    <mergeCell ref="M6:Q6"/>
    <mergeCell ref="R6:S6"/>
    <mergeCell ref="T6:X6"/>
    <mergeCell ref="AD7:AI7"/>
    <mergeCell ref="C10:L10"/>
    <mergeCell ref="C13:L13"/>
    <mergeCell ref="C11:L11"/>
    <mergeCell ref="M11:Q11"/>
    <mergeCell ref="R11:S11"/>
    <mergeCell ref="T11:X11"/>
    <mergeCell ref="Y11:AC11"/>
    <mergeCell ref="AD11:AI11"/>
    <mergeCell ref="C12:L12"/>
    <mergeCell ref="M12:Q12"/>
    <mergeCell ref="R12:S12"/>
    <mergeCell ref="T12:X12"/>
    <mergeCell ref="Y12:AC12"/>
    <mergeCell ref="AD12:AI12"/>
    <mergeCell ref="T10:X10"/>
    <mergeCell ref="T13:X13"/>
    <mergeCell ref="M10:Q10"/>
    <mergeCell ref="R10:S10"/>
    <mergeCell ref="M13:Q13"/>
    <mergeCell ref="R13:S13"/>
    <mergeCell ref="Y10:AC10"/>
    <mergeCell ref="Y13:AC13"/>
    <mergeCell ref="AD10:AI10"/>
    <mergeCell ref="AD13:AI13"/>
    <mergeCell ref="Y22:AC22"/>
    <mergeCell ref="AD22:AI22"/>
    <mergeCell ref="C23:L23"/>
    <mergeCell ref="M23:Q23"/>
    <mergeCell ref="R23:S23"/>
    <mergeCell ref="T23:X23"/>
    <mergeCell ref="Y23:AC23"/>
    <mergeCell ref="AD23:AI23"/>
    <mergeCell ref="C25:L25"/>
    <mergeCell ref="M25:Q25"/>
    <mergeCell ref="R25:S25"/>
    <mergeCell ref="T25:X25"/>
    <mergeCell ref="Y25:AC25"/>
    <mergeCell ref="AD25:AI25"/>
    <mergeCell ref="C22:L22"/>
    <mergeCell ref="M22:Q22"/>
    <mergeCell ref="R22:S22"/>
    <mergeCell ref="T22:X22"/>
  </mergeCells>
  <phoneticPr fontId="2"/>
  <conditionalFormatting sqref="C7:S9 C14:S18 R10:R13 C10:M13">
    <cfRule type="containsBlanks" dxfId="21" priority="4">
      <formula>LEN(TRIM(C7))=0</formula>
    </cfRule>
  </conditionalFormatting>
  <conditionalFormatting sqref="Y7:AC18">
    <cfRule type="containsBlanks" dxfId="20" priority="3">
      <formula>LEN(TRIM(Y7))=0</formula>
    </cfRule>
  </conditionalFormatting>
  <conditionalFormatting sqref="C20:S30">
    <cfRule type="containsBlanks" dxfId="19" priority="2">
      <formula>LEN(TRIM(C20))=0</formula>
    </cfRule>
  </conditionalFormatting>
  <conditionalFormatting sqref="Y20:AC30">
    <cfRule type="containsBlanks" dxfId="18" priority="1">
      <formula>LEN(TRIM(Y20))=0</formula>
    </cfRule>
  </conditionalFormatting>
  <pageMargins left="0.55000000000000004" right="0.15748031496062992" top="0.56999999999999995" bottom="0.33" header="0.19" footer="0.31496062992125984"/>
  <pageSetup paperSize="9" orientation="portrait" r:id="rId1"/>
  <headerFooter>
    <oddHeader>&amp;L様式第２－６号（第８条関係）</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1354F-6247-45FA-87A9-9596EDAFA6CF}">
  <sheetPr codeName="Sheet39"/>
  <dimension ref="B1:AL508"/>
  <sheetViews>
    <sheetView showGridLines="0" topLeftCell="S10" workbookViewId="0">
      <selection activeCell="C67" sqref="C67"/>
    </sheetView>
  </sheetViews>
  <sheetFormatPr defaultColWidth="8.7265625" defaultRowHeight="13"/>
  <cols>
    <col min="1" max="1" width="4.453125" style="1" customWidth="1"/>
    <col min="2" max="3" width="5.26953125" style="1" bestFit="1" customWidth="1"/>
    <col min="4" max="4" width="22.453125" style="1" bestFit="1" customWidth="1"/>
    <col min="5" max="5" width="9.26953125" style="1" bestFit="1" customWidth="1"/>
    <col min="6" max="6" width="11.36328125" style="1" bestFit="1" customWidth="1"/>
    <col min="7" max="7" width="19.90625" style="1" bestFit="1" customWidth="1"/>
    <col min="8" max="10" width="4.453125" style="1" customWidth="1"/>
    <col min="11" max="13" width="8.7265625" style="1"/>
    <col min="14" max="14" width="10.7265625" style="1" customWidth="1"/>
    <col min="15" max="15" width="15.453125" style="1" customWidth="1"/>
    <col min="16" max="16" width="25.6328125" style="1" customWidth="1"/>
    <col min="17" max="18" width="9.26953125" style="1" bestFit="1" customWidth="1"/>
    <col min="19" max="19" width="32.90625" style="1" bestFit="1" customWidth="1"/>
    <col min="20" max="20" width="11.36328125" style="1" bestFit="1" customWidth="1"/>
    <col min="21" max="21" width="17.453125" style="1" customWidth="1"/>
    <col min="22" max="22" width="7.26953125" style="1" bestFit="1" customWidth="1"/>
    <col min="23" max="16384" width="8.7265625" style="1"/>
  </cols>
  <sheetData>
    <row r="1" spans="2:38">
      <c r="B1" s="1" t="s">
        <v>1248</v>
      </c>
      <c r="M1"/>
      <c r="N1" s="941" t="s">
        <v>1249</v>
      </c>
      <c r="O1"/>
      <c r="P1"/>
      <c r="Q1"/>
      <c r="R1"/>
      <c r="S1"/>
      <c r="T1"/>
      <c r="U1"/>
      <c r="V1"/>
      <c r="W1"/>
      <c r="X1"/>
      <c r="Y1"/>
      <c r="Z1"/>
      <c r="AA1"/>
      <c r="AB1"/>
      <c r="AC1"/>
      <c r="AD1"/>
      <c r="AE1"/>
      <c r="AF1"/>
      <c r="AG1"/>
      <c r="AH1"/>
      <c r="AI1"/>
      <c r="AJ1"/>
      <c r="AK1"/>
      <c r="AL1"/>
    </row>
    <row r="2" spans="2:38">
      <c r="B2" s="1" t="s">
        <v>1250</v>
      </c>
      <c r="M2"/>
      <c r="N2" s="941" t="s">
        <v>1251</v>
      </c>
      <c r="O2"/>
      <c r="P2"/>
      <c r="Q2"/>
      <c r="R2"/>
      <c r="S2"/>
      <c r="T2"/>
      <c r="U2"/>
      <c r="V2"/>
      <c r="W2"/>
      <c r="X2"/>
      <c r="Y2"/>
      <c r="Z2"/>
      <c r="AA2"/>
      <c r="AB2"/>
      <c r="AC2"/>
      <c r="AD2"/>
      <c r="AE2"/>
      <c r="AF2"/>
      <c r="AG2"/>
      <c r="AH2"/>
      <c r="AI2"/>
      <c r="AJ2"/>
      <c r="AK2"/>
      <c r="AL2"/>
    </row>
    <row r="3" spans="2:38">
      <c r="B3" s="1" t="s">
        <v>1252</v>
      </c>
      <c r="M3"/>
      <c r="N3" s="941" t="s">
        <v>1253</v>
      </c>
      <c r="O3"/>
      <c r="P3"/>
      <c r="Q3"/>
      <c r="R3"/>
      <c r="S3"/>
      <c r="T3"/>
      <c r="U3"/>
      <c r="V3"/>
      <c r="W3"/>
      <c r="X3"/>
      <c r="Y3"/>
      <c r="Z3"/>
      <c r="AA3"/>
      <c r="AB3"/>
      <c r="AC3"/>
      <c r="AD3"/>
      <c r="AE3"/>
      <c r="AF3"/>
      <c r="AG3"/>
      <c r="AH3"/>
      <c r="AI3"/>
      <c r="AJ3"/>
      <c r="AK3"/>
      <c r="AL3"/>
    </row>
    <row r="4" spans="2:38">
      <c r="B4" s="1117" t="s">
        <v>1254</v>
      </c>
      <c r="C4" s="1117"/>
      <c r="D4" s="1117"/>
      <c r="E4" s="1117"/>
      <c r="F4" s="1117"/>
      <c r="G4" s="1117"/>
      <c r="M4"/>
      <c r="N4" s="941" t="s">
        <v>1255</v>
      </c>
      <c r="O4"/>
      <c r="P4"/>
      <c r="Q4"/>
      <c r="R4"/>
      <c r="S4"/>
      <c r="T4"/>
      <c r="U4"/>
      <c r="V4"/>
      <c r="W4"/>
      <c r="X4"/>
      <c r="Y4"/>
      <c r="Z4"/>
      <c r="AA4"/>
      <c r="AB4"/>
      <c r="AC4"/>
      <c r="AD4"/>
      <c r="AE4"/>
      <c r="AF4"/>
      <c r="AG4"/>
      <c r="AH4"/>
      <c r="AI4"/>
      <c r="AJ4"/>
      <c r="AK4"/>
      <c r="AL4"/>
    </row>
    <row r="5" spans="2:38">
      <c r="B5" s="798" t="s">
        <v>226</v>
      </c>
      <c r="C5" s="798" t="s">
        <v>50</v>
      </c>
      <c r="D5" s="798" t="s">
        <v>1256</v>
      </c>
      <c r="E5" s="798" t="s">
        <v>1257</v>
      </c>
      <c r="F5" s="8" t="s">
        <v>1258</v>
      </c>
      <c r="G5" s="2" t="s">
        <v>402</v>
      </c>
      <c r="M5"/>
      <c r="N5" s="941"/>
      <c r="O5"/>
      <c r="P5" s="942" t="s">
        <v>1259</v>
      </c>
      <c r="Q5"/>
      <c r="R5"/>
      <c r="S5"/>
      <c r="T5"/>
      <c r="U5"/>
      <c r="V5"/>
      <c r="W5"/>
      <c r="X5"/>
      <c r="Y5"/>
      <c r="Z5"/>
      <c r="AA5"/>
      <c r="AB5"/>
      <c r="AC5"/>
      <c r="AD5"/>
      <c r="AE5"/>
      <c r="AF5"/>
      <c r="AG5"/>
      <c r="AH5"/>
      <c r="AI5"/>
      <c r="AJ5"/>
      <c r="AK5"/>
      <c r="AL5"/>
    </row>
    <row r="6" spans="2:38">
      <c r="B6" s="2108" t="s">
        <v>61</v>
      </c>
      <c r="C6" s="2" t="s">
        <v>10</v>
      </c>
      <c r="D6" s="2" t="s">
        <v>1260</v>
      </c>
      <c r="E6" s="246">
        <f>'（追加）方位別標準時間'!T19</f>
        <v>9</v>
      </c>
      <c r="F6" s="246" t="s">
        <v>1168</v>
      </c>
      <c r="G6" s="2"/>
      <c r="M6"/>
      <c r="N6" s="941"/>
      <c r="O6"/>
      <c r="P6"/>
      <c r="Q6"/>
      <c r="R6"/>
      <c r="S6"/>
      <c r="T6"/>
      <c r="U6"/>
      <c r="V6"/>
      <c r="W6"/>
      <c r="X6"/>
      <c r="Y6"/>
      <c r="Z6"/>
      <c r="AA6"/>
      <c r="AB6"/>
      <c r="AC6"/>
      <c r="AD6"/>
      <c r="AE6"/>
      <c r="AF6"/>
      <c r="AG6"/>
      <c r="AH6"/>
      <c r="AI6"/>
      <c r="AJ6"/>
      <c r="AK6"/>
      <c r="AL6"/>
    </row>
    <row r="7" spans="2:38">
      <c r="B7" s="2108"/>
      <c r="C7" s="943" t="s">
        <v>10</v>
      </c>
      <c r="D7" s="943" t="s">
        <v>1261</v>
      </c>
      <c r="E7" s="944" t="s">
        <v>1262</v>
      </c>
      <c r="F7" s="945" t="s">
        <v>54</v>
      </c>
      <c r="G7" s="943" t="s">
        <v>1263</v>
      </c>
      <c r="M7"/>
      <c r="N7" s="946" t="s">
        <v>1264</v>
      </c>
      <c r="O7"/>
      <c r="P7"/>
      <c r="Q7"/>
      <c r="R7" s="941" t="s">
        <v>1265</v>
      </c>
      <c r="S7"/>
      <c r="T7"/>
      <c r="U7"/>
      <c r="V7"/>
      <c r="W7"/>
      <c r="X7"/>
      <c r="Y7"/>
      <c r="Z7"/>
      <c r="AA7"/>
      <c r="AB7"/>
      <c r="AC7"/>
      <c r="AD7"/>
      <c r="AE7"/>
      <c r="AF7"/>
      <c r="AG7"/>
      <c r="AH7"/>
      <c r="AI7"/>
      <c r="AJ7"/>
      <c r="AK7"/>
      <c r="AL7"/>
    </row>
    <row r="8" spans="2:38">
      <c r="B8" s="1130" t="s">
        <v>62</v>
      </c>
      <c r="C8" s="2" t="s">
        <v>63</v>
      </c>
      <c r="D8" s="2" t="s">
        <v>1260</v>
      </c>
      <c r="E8" s="2">
        <v>0</v>
      </c>
      <c r="F8" s="2" t="s">
        <v>1168</v>
      </c>
      <c r="G8" s="2" t="s">
        <v>1266</v>
      </c>
      <c r="M8"/>
      <c r="N8" s="941"/>
      <c r="O8"/>
      <c r="P8"/>
      <c r="Q8"/>
      <c r="R8"/>
      <c r="S8"/>
      <c r="T8"/>
      <c r="U8"/>
      <c r="V8"/>
      <c r="W8"/>
      <c r="X8"/>
      <c r="Y8"/>
      <c r="Z8"/>
      <c r="AA8"/>
      <c r="AB8"/>
      <c r="AC8"/>
      <c r="AD8"/>
      <c r="AE8"/>
      <c r="AF8"/>
      <c r="AG8"/>
      <c r="AH8"/>
      <c r="AI8"/>
      <c r="AJ8"/>
      <c r="AK8"/>
      <c r="AL8"/>
    </row>
    <row r="9" spans="2:38">
      <c r="B9" s="1130"/>
      <c r="C9" s="2" t="s">
        <v>64</v>
      </c>
      <c r="D9" s="2" t="s">
        <v>1260</v>
      </c>
      <c r="E9" s="2">
        <f>'（追加）方位別標準時間'!T21</f>
        <v>2.5</v>
      </c>
      <c r="F9" s="2" t="s">
        <v>1168</v>
      </c>
      <c r="G9" s="2" t="s">
        <v>1267</v>
      </c>
      <c r="M9"/>
      <c r="N9" s="941"/>
      <c r="O9"/>
      <c r="P9" s="947" t="s">
        <v>67</v>
      </c>
      <c r="Q9"/>
      <c r="R9"/>
      <c r="S9"/>
      <c r="T9"/>
      <c r="U9"/>
      <c r="V9"/>
      <c r="W9"/>
      <c r="X9"/>
      <c r="Y9"/>
      <c r="Z9"/>
      <c r="AA9"/>
      <c r="AB9"/>
      <c r="AC9"/>
      <c r="AD9"/>
      <c r="AE9"/>
      <c r="AF9"/>
      <c r="AG9"/>
      <c r="AH9"/>
      <c r="AI9"/>
      <c r="AJ9"/>
      <c r="AK9"/>
      <c r="AL9"/>
    </row>
    <row r="10" spans="2:38">
      <c r="B10" s="1130"/>
      <c r="C10" s="2" t="s">
        <v>65</v>
      </c>
      <c r="D10" s="2" t="s">
        <v>1260</v>
      </c>
      <c r="E10" s="2">
        <f>'（追加）方位別標準時間'!T22</f>
        <v>3.5</v>
      </c>
      <c r="F10" s="2" t="s">
        <v>1168</v>
      </c>
      <c r="G10" s="2" t="s">
        <v>1267</v>
      </c>
      <c r="M10"/>
      <c r="N10" s="941"/>
      <c r="O10"/>
      <c r="P10"/>
      <c r="Q10"/>
      <c r="R10"/>
      <c r="S10"/>
      <c r="T10"/>
      <c r="U10"/>
      <c r="V10"/>
      <c r="W10"/>
      <c r="X10"/>
      <c r="Y10"/>
      <c r="Z10"/>
      <c r="AA10"/>
      <c r="AB10"/>
      <c r="AC10"/>
      <c r="AD10"/>
      <c r="AE10"/>
      <c r="AF10"/>
      <c r="AG10"/>
      <c r="AH10"/>
      <c r="AI10"/>
      <c r="AJ10"/>
      <c r="AK10"/>
      <c r="AL10"/>
    </row>
    <row r="11" spans="2:38">
      <c r="B11" s="1130"/>
      <c r="C11" s="2" t="s">
        <v>66</v>
      </c>
      <c r="D11" s="2" t="s">
        <v>1260</v>
      </c>
      <c r="E11" s="2">
        <f>'（追加）方位別標準時間'!T23</f>
        <v>4.5</v>
      </c>
      <c r="F11" s="2" t="s">
        <v>1168</v>
      </c>
      <c r="G11" s="2" t="s">
        <v>1267</v>
      </c>
      <c r="M11"/>
      <c r="N11" s="941"/>
      <c r="O11" t="s">
        <v>65</v>
      </c>
      <c r="P11"/>
      <c r="Q11" s="948" t="s">
        <v>69</v>
      </c>
      <c r="R11"/>
      <c r="S11" s="941" t="s">
        <v>1268</v>
      </c>
      <c r="T11"/>
      <c r="U11"/>
      <c r="V11"/>
      <c r="W11"/>
      <c r="X11"/>
      <c r="Y11"/>
      <c r="Z11"/>
      <c r="AA11"/>
      <c r="AB11"/>
      <c r="AC11"/>
      <c r="AD11"/>
      <c r="AE11"/>
      <c r="AF11"/>
      <c r="AG11"/>
      <c r="AH11"/>
      <c r="AI11"/>
      <c r="AJ11"/>
      <c r="AK11"/>
      <c r="AL11"/>
    </row>
    <row r="12" spans="2:38">
      <c r="B12" s="1130"/>
      <c r="C12" s="2" t="s">
        <v>67</v>
      </c>
      <c r="D12" s="2" t="s">
        <v>1260</v>
      </c>
      <c r="E12" s="246">
        <f>'（追加）方位別標準時間'!T24</f>
        <v>5</v>
      </c>
      <c r="F12" s="2" t="s">
        <v>1168</v>
      </c>
      <c r="G12" s="2" t="s">
        <v>1269</v>
      </c>
      <c r="M12"/>
      <c r="N12" s="941" t="s">
        <v>1270</v>
      </c>
      <c r="O12"/>
      <c r="P12"/>
      <c r="Q12"/>
      <c r="R12" s="946" t="s">
        <v>1271</v>
      </c>
      <c r="S12"/>
      <c r="T12"/>
      <c r="U12"/>
      <c r="V12"/>
      <c r="W12"/>
      <c r="X12"/>
      <c r="Y12"/>
      <c r="Z12"/>
      <c r="AA12"/>
      <c r="AB12"/>
      <c r="AC12"/>
      <c r="AD12"/>
      <c r="AE12"/>
      <c r="AF12"/>
      <c r="AG12"/>
      <c r="AH12"/>
      <c r="AI12"/>
      <c r="AJ12"/>
      <c r="AK12"/>
      <c r="AL12"/>
    </row>
    <row r="13" spans="2:38">
      <c r="B13" s="1130"/>
      <c r="C13" s="2" t="s">
        <v>68</v>
      </c>
      <c r="D13" s="2" t="s">
        <v>1260</v>
      </c>
      <c r="E13" s="2">
        <f>'（追加）方位別標準時間'!T25</f>
        <v>4.5</v>
      </c>
      <c r="F13" s="2" t="s">
        <v>1168</v>
      </c>
      <c r="G13" s="2" t="s">
        <v>1272</v>
      </c>
      <c r="M13"/>
      <c r="N13" s="941" t="s">
        <v>1273</v>
      </c>
      <c r="O13"/>
      <c r="P13"/>
      <c r="Q13"/>
      <c r="R13"/>
      <c r="S13"/>
      <c r="T13"/>
      <c r="U13"/>
      <c r="V13"/>
      <c r="W13"/>
      <c r="X13"/>
      <c r="Y13"/>
      <c r="Z13"/>
      <c r="AA13"/>
      <c r="AB13"/>
      <c r="AC13"/>
      <c r="AD13"/>
      <c r="AE13"/>
      <c r="AF13"/>
      <c r="AG13"/>
      <c r="AH13"/>
      <c r="AI13"/>
      <c r="AJ13"/>
      <c r="AK13"/>
      <c r="AL13"/>
    </row>
    <row r="14" spans="2:38">
      <c r="B14" s="1130"/>
      <c r="C14" s="2" t="s">
        <v>69</v>
      </c>
      <c r="D14" s="2" t="s">
        <v>1260</v>
      </c>
      <c r="E14" s="2">
        <f>'（追加）方位別標準時間'!T26</f>
        <v>3.5</v>
      </c>
      <c r="F14" s="2" t="s">
        <v>1168</v>
      </c>
      <c r="G14" s="2" t="s">
        <v>1272</v>
      </c>
      <c r="M14"/>
      <c r="N14" s="941"/>
      <c r="O14"/>
      <c r="P14" t="s">
        <v>1274</v>
      </c>
      <c r="Q14"/>
      <c r="R14"/>
      <c r="S14"/>
      <c r="T14"/>
      <c r="U14"/>
      <c r="V14"/>
      <c r="W14"/>
      <c r="X14"/>
      <c r="Y14"/>
      <c r="Z14"/>
      <c r="AA14"/>
      <c r="AB14"/>
      <c r="AC14"/>
      <c r="AD14"/>
      <c r="AE14"/>
      <c r="AF14"/>
      <c r="AG14"/>
      <c r="AH14"/>
      <c r="AI14"/>
      <c r="AJ14"/>
      <c r="AK14"/>
      <c r="AL14"/>
    </row>
    <row r="15" spans="2:38">
      <c r="B15" s="1130"/>
      <c r="C15" s="2" t="s">
        <v>70</v>
      </c>
      <c r="D15" s="2" t="s">
        <v>1260</v>
      </c>
      <c r="E15" s="2">
        <f>'（追加）方位別標準時間'!T27</f>
        <v>2.5</v>
      </c>
      <c r="F15" s="2" t="s">
        <v>1168</v>
      </c>
      <c r="G15" s="2" t="s">
        <v>1272</v>
      </c>
      <c r="M15"/>
      <c r="N15" s="941" t="s">
        <v>1275</v>
      </c>
      <c r="O15"/>
      <c r="P15"/>
      <c r="Q15"/>
      <c r="R15"/>
      <c r="S15"/>
      <c r="T15"/>
      <c r="U15"/>
      <c r="V15"/>
      <c r="W15"/>
      <c r="X15"/>
      <c r="Y15"/>
      <c r="Z15"/>
      <c r="AA15"/>
      <c r="AB15"/>
      <c r="AC15"/>
      <c r="AD15"/>
      <c r="AE15"/>
      <c r="AF15"/>
      <c r="AG15"/>
      <c r="AH15"/>
      <c r="AI15"/>
      <c r="AJ15"/>
      <c r="AK15"/>
      <c r="AL15"/>
    </row>
    <row r="16" spans="2:38">
      <c r="B16" s="1130" t="s">
        <v>62</v>
      </c>
      <c r="C16" s="943" t="s">
        <v>63</v>
      </c>
      <c r="D16" s="943" t="s">
        <v>1261</v>
      </c>
      <c r="E16" s="944" t="s">
        <v>1262</v>
      </c>
      <c r="F16" s="945" t="s">
        <v>54</v>
      </c>
      <c r="G16" s="943" t="s">
        <v>1263</v>
      </c>
      <c r="M16"/>
      <c r="N16" s="106"/>
      <c r="O16" s="106"/>
      <c r="P16" s="106" t="s">
        <v>1276</v>
      </c>
      <c r="Q16" s="106"/>
      <c r="R16" s="106"/>
      <c r="S16" s="2105" t="s">
        <v>1277</v>
      </c>
      <c r="T16" s="106"/>
      <c r="U16" s="106" t="s">
        <v>1276</v>
      </c>
      <c r="V16" s="106"/>
      <c r="W16"/>
      <c r="X16"/>
      <c r="Y16"/>
      <c r="Z16"/>
      <c r="AA16"/>
      <c r="AB16"/>
      <c r="AC16"/>
      <c r="AD16"/>
      <c r="AE16"/>
      <c r="AF16"/>
      <c r="AG16"/>
      <c r="AH16"/>
      <c r="AI16"/>
      <c r="AJ16"/>
      <c r="AK16"/>
      <c r="AL16"/>
    </row>
    <row r="17" spans="2:38">
      <c r="B17" s="1130"/>
      <c r="C17" s="943" t="s">
        <v>64</v>
      </c>
      <c r="D17" s="943" t="s">
        <v>1261</v>
      </c>
      <c r="E17" s="944" t="s">
        <v>1262</v>
      </c>
      <c r="F17" s="945" t="s">
        <v>54</v>
      </c>
      <c r="G17" s="943" t="s">
        <v>1263</v>
      </c>
      <c r="M17"/>
      <c r="N17" s="106"/>
      <c r="O17" s="2107" t="s">
        <v>1278</v>
      </c>
      <c r="P17" s="2107"/>
      <c r="Q17" s="949" t="s">
        <v>1279</v>
      </c>
      <c r="R17" s="950" t="s">
        <v>1280</v>
      </c>
      <c r="S17" s="2106"/>
      <c r="T17" s="950" t="s">
        <v>1281</v>
      </c>
      <c r="U17" s="951" t="s">
        <v>1282</v>
      </c>
      <c r="V17" s="951" t="s">
        <v>1283</v>
      </c>
      <c r="W17"/>
      <c r="X17"/>
      <c r="Y17"/>
      <c r="Z17"/>
      <c r="AA17"/>
      <c r="AB17"/>
      <c r="AC17"/>
      <c r="AD17"/>
      <c r="AE17"/>
      <c r="AF17"/>
      <c r="AG17"/>
      <c r="AH17"/>
      <c r="AI17"/>
      <c r="AJ17"/>
      <c r="AK17"/>
      <c r="AL17"/>
    </row>
    <row r="18" spans="2:38">
      <c r="B18" s="1130"/>
      <c r="C18" s="943" t="s">
        <v>65</v>
      </c>
      <c r="D18" s="943" t="s">
        <v>1261</v>
      </c>
      <c r="E18" s="944" t="s">
        <v>1262</v>
      </c>
      <c r="F18" s="945" t="s">
        <v>54</v>
      </c>
      <c r="G18" s="943" t="s">
        <v>1263</v>
      </c>
      <c r="M18" s="891"/>
      <c r="N18" s="952" t="s">
        <v>1284</v>
      </c>
      <c r="O18" s="953"/>
      <c r="P18" s="954">
        <v>9</v>
      </c>
      <c r="Q18" s="955"/>
      <c r="R18" s="955"/>
      <c r="S18" s="955"/>
      <c r="T18" s="955" t="s">
        <v>1285</v>
      </c>
      <c r="U18" s="952">
        <v>20.5</v>
      </c>
      <c r="V18" s="955"/>
      <c r="W18" s="891"/>
      <c r="X18" s="891"/>
      <c r="Y18" s="891"/>
      <c r="Z18" s="891"/>
      <c r="AA18" s="891"/>
      <c r="AB18" s="891"/>
      <c r="AC18" s="891"/>
      <c r="AD18" s="891"/>
      <c r="AE18" s="891"/>
      <c r="AF18" s="891"/>
      <c r="AG18" s="891"/>
      <c r="AH18" s="891"/>
      <c r="AI18" s="891"/>
      <c r="AJ18" s="891"/>
      <c r="AK18" s="891"/>
      <c r="AL18" s="891"/>
    </row>
    <row r="19" spans="2:38">
      <c r="B19" s="1130"/>
      <c r="C19" s="943" t="s">
        <v>66</v>
      </c>
      <c r="D19" s="943" t="s">
        <v>1261</v>
      </c>
      <c r="E19" s="944" t="s">
        <v>1262</v>
      </c>
      <c r="F19" s="945" t="s">
        <v>54</v>
      </c>
      <c r="G19" s="943" t="s">
        <v>1263</v>
      </c>
      <c r="M19"/>
      <c r="N19" s="106" t="s">
        <v>61</v>
      </c>
      <c r="O19" s="106" t="s">
        <v>1286</v>
      </c>
      <c r="P19" s="951">
        <v>13</v>
      </c>
      <c r="Q19" s="956">
        <f>P19</f>
        <v>13</v>
      </c>
      <c r="R19" s="957">
        <v>0</v>
      </c>
      <c r="S19" s="958" t="s">
        <v>1287</v>
      </c>
      <c r="T19" s="959">
        <f>IF(P18&lt;=P19,P18,IF(P18&gt;=13,P19))</f>
        <v>9</v>
      </c>
      <c r="U19" s="106">
        <f>U18</f>
        <v>20.5</v>
      </c>
      <c r="V19" s="106">
        <f>U19*T19</f>
        <v>184.5</v>
      </c>
      <c r="W19"/>
      <c r="X19"/>
      <c r="Y19"/>
      <c r="Z19"/>
      <c r="AA19"/>
      <c r="AB19"/>
      <c r="AC19"/>
      <c r="AD19"/>
      <c r="AE19"/>
      <c r="AF19"/>
      <c r="AG19"/>
      <c r="AH19"/>
      <c r="AI19"/>
      <c r="AJ19"/>
      <c r="AK19"/>
      <c r="AL19"/>
    </row>
    <row r="20" spans="2:38">
      <c r="B20" s="1130"/>
      <c r="C20" s="943" t="s">
        <v>67</v>
      </c>
      <c r="D20" s="943" t="s">
        <v>1261</v>
      </c>
      <c r="E20" s="944" t="s">
        <v>1262</v>
      </c>
      <c r="F20" s="945" t="s">
        <v>54</v>
      </c>
      <c r="G20" s="943" t="s">
        <v>1263</v>
      </c>
      <c r="M20"/>
      <c r="N20" s="106" t="s">
        <v>63</v>
      </c>
      <c r="O20" s="106" t="s">
        <v>1288</v>
      </c>
      <c r="P20" s="951">
        <v>0</v>
      </c>
      <c r="Q20" s="949"/>
      <c r="R20" s="950"/>
      <c r="S20" s="106" t="s">
        <v>1289</v>
      </c>
      <c r="T20" s="960"/>
      <c r="U20" s="106">
        <f>U18</f>
        <v>20.5</v>
      </c>
      <c r="V20" s="106">
        <f>U20*Q20</f>
        <v>0</v>
      </c>
      <c r="W20"/>
      <c r="X20"/>
      <c r="Y20"/>
      <c r="Z20"/>
      <c r="AA20"/>
      <c r="AB20"/>
      <c r="AC20"/>
      <c r="AD20"/>
      <c r="AE20"/>
      <c r="AF20"/>
      <c r="AG20"/>
      <c r="AH20"/>
      <c r="AI20"/>
      <c r="AJ20"/>
      <c r="AK20"/>
      <c r="AL20"/>
    </row>
    <row r="21" spans="2:38">
      <c r="B21" s="1130"/>
      <c r="C21" s="943" t="s">
        <v>68</v>
      </c>
      <c r="D21" s="943" t="s">
        <v>1261</v>
      </c>
      <c r="E21" s="944" t="s">
        <v>1262</v>
      </c>
      <c r="F21" s="945" t="s">
        <v>54</v>
      </c>
      <c r="G21" s="943" t="s">
        <v>1263</v>
      </c>
      <c r="M21"/>
      <c r="N21" s="106" t="s">
        <v>64</v>
      </c>
      <c r="O21" s="106" t="s">
        <v>1290</v>
      </c>
      <c r="P21" s="951">
        <v>5</v>
      </c>
      <c r="Q21" s="956">
        <f t="shared" ref="Q21:Q27" si="0">P21</f>
        <v>5</v>
      </c>
      <c r="R21" s="957">
        <f>IF(P18&gt;=9.1,0,IF(P18&lt;=9.1,-2.5))</f>
        <v>-2.5</v>
      </c>
      <c r="S21" s="961" t="s">
        <v>1291</v>
      </c>
      <c r="T21" s="962">
        <f t="shared" ref="T21:T27" si="1">Q21+R21</f>
        <v>2.5</v>
      </c>
      <c r="U21" s="106">
        <f>U18</f>
        <v>20.5</v>
      </c>
      <c r="V21" s="963">
        <f t="shared" ref="V21:V27" si="2">T21*U21</f>
        <v>51.25</v>
      </c>
      <c r="W21"/>
      <c r="X21"/>
      <c r="Y21"/>
      <c r="Z21"/>
      <c r="AA21"/>
      <c r="AB21"/>
      <c r="AC21"/>
      <c r="AD21"/>
      <c r="AE21"/>
      <c r="AF21"/>
      <c r="AG21"/>
      <c r="AH21"/>
      <c r="AI21"/>
      <c r="AJ21"/>
      <c r="AK21"/>
      <c r="AL21"/>
    </row>
    <row r="22" spans="2:38">
      <c r="B22" s="1130"/>
      <c r="C22" s="943" t="s">
        <v>69</v>
      </c>
      <c r="D22" s="943" t="s">
        <v>1261</v>
      </c>
      <c r="E22" s="944" t="s">
        <v>1262</v>
      </c>
      <c r="F22" s="945" t="s">
        <v>54</v>
      </c>
      <c r="G22" s="943" t="s">
        <v>1263</v>
      </c>
      <c r="M22"/>
      <c r="N22" s="106" t="s">
        <v>65</v>
      </c>
      <c r="O22" s="106" t="s">
        <v>1292</v>
      </c>
      <c r="P22" s="951">
        <v>6</v>
      </c>
      <c r="Q22" s="956">
        <f t="shared" si="0"/>
        <v>6</v>
      </c>
      <c r="R22" s="957">
        <f>IF(P18&gt;=9.1,0,IF(P18&lt;=9.1,-2.5))</f>
        <v>-2.5</v>
      </c>
      <c r="S22" s="961" t="s">
        <v>1291</v>
      </c>
      <c r="T22" s="962">
        <f t="shared" si="1"/>
        <v>3.5</v>
      </c>
      <c r="U22" s="106">
        <f>U18</f>
        <v>20.5</v>
      </c>
      <c r="V22" s="963">
        <f t="shared" si="2"/>
        <v>71.75</v>
      </c>
      <c r="W22"/>
      <c r="X22"/>
      <c r="Y22"/>
      <c r="Z22"/>
      <c r="AA22"/>
      <c r="AB22"/>
      <c r="AC22"/>
      <c r="AD22"/>
      <c r="AE22"/>
      <c r="AF22"/>
      <c r="AG22"/>
      <c r="AH22"/>
      <c r="AI22"/>
      <c r="AJ22"/>
      <c r="AK22"/>
      <c r="AL22"/>
    </row>
    <row r="23" spans="2:38">
      <c r="B23" s="1130"/>
      <c r="C23" s="943" t="s">
        <v>70</v>
      </c>
      <c r="D23" s="943" t="s">
        <v>1261</v>
      </c>
      <c r="E23" s="944" t="s">
        <v>1262</v>
      </c>
      <c r="F23" s="945" t="s">
        <v>54</v>
      </c>
      <c r="G23" s="943" t="s">
        <v>1263</v>
      </c>
      <c r="M23"/>
      <c r="N23" s="106" t="s">
        <v>66</v>
      </c>
      <c r="O23" s="106" t="s">
        <v>1293</v>
      </c>
      <c r="P23" s="951">
        <v>7</v>
      </c>
      <c r="Q23" s="956">
        <f t="shared" si="0"/>
        <v>7</v>
      </c>
      <c r="R23" s="957">
        <f>IF(P18&gt;=9.1,0,IF(P18&lt;=9.1,-2.5))</f>
        <v>-2.5</v>
      </c>
      <c r="S23" s="961" t="s">
        <v>1291</v>
      </c>
      <c r="T23" s="962">
        <f t="shared" si="1"/>
        <v>4.5</v>
      </c>
      <c r="U23" s="106">
        <f>U18</f>
        <v>20.5</v>
      </c>
      <c r="V23" s="963">
        <f t="shared" si="2"/>
        <v>92.25</v>
      </c>
      <c r="W23"/>
      <c r="X23"/>
      <c r="Y23"/>
      <c r="Z23"/>
      <c r="AA23"/>
      <c r="AB23"/>
      <c r="AC23"/>
      <c r="AD23"/>
      <c r="AE23"/>
      <c r="AF23"/>
      <c r="AG23"/>
      <c r="AH23"/>
      <c r="AI23"/>
      <c r="AJ23"/>
      <c r="AK23"/>
      <c r="AL23"/>
    </row>
    <row r="24" spans="2:38">
      <c r="B24" s="1130" t="s">
        <v>825</v>
      </c>
      <c r="C24" s="2" t="s">
        <v>63</v>
      </c>
      <c r="D24" s="2" t="s">
        <v>1294</v>
      </c>
      <c r="E24" s="2">
        <f>E8</f>
        <v>0</v>
      </c>
      <c r="F24" s="2" t="s">
        <v>1168</v>
      </c>
      <c r="G24" s="2" t="s">
        <v>1266</v>
      </c>
      <c r="M24"/>
      <c r="N24" s="106" t="s">
        <v>67</v>
      </c>
      <c r="O24" s="106" t="s">
        <v>1295</v>
      </c>
      <c r="P24" s="951">
        <v>5</v>
      </c>
      <c r="Q24" s="956">
        <f t="shared" si="0"/>
        <v>5</v>
      </c>
      <c r="R24" s="957">
        <v>0</v>
      </c>
      <c r="S24" s="961" t="s">
        <v>1296</v>
      </c>
      <c r="T24" s="962">
        <f t="shared" si="1"/>
        <v>5</v>
      </c>
      <c r="U24" s="106">
        <f>U18</f>
        <v>20.5</v>
      </c>
      <c r="V24" s="963">
        <f t="shared" si="2"/>
        <v>102.5</v>
      </c>
      <c r="W24"/>
      <c r="X24"/>
      <c r="Y24"/>
      <c r="Z24"/>
      <c r="AA24"/>
      <c r="AB24"/>
      <c r="AC24"/>
      <c r="AD24"/>
      <c r="AE24"/>
      <c r="AF24"/>
      <c r="AG24"/>
      <c r="AH24"/>
      <c r="AI24"/>
      <c r="AJ24"/>
      <c r="AK24"/>
      <c r="AL24"/>
    </row>
    <row r="25" spans="2:38">
      <c r="B25" s="1130"/>
      <c r="C25" s="2" t="s">
        <v>64</v>
      </c>
      <c r="D25" s="2" t="s">
        <v>1294</v>
      </c>
      <c r="E25" s="2">
        <f t="shared" ref="E25:E31" si="3">E9</f>
        <v>2.5</v>
      </c>
      <c r="F25" s="2" t="s">
        <v>1168</v>
      </c>
      <c r="G25" s="2" t="s">
        <v>1267</v>
      </c>
      <c r="M25"/>
      <c r="N25" s="106" t="s">
        <v>68</v>
      </c>
      <c r="O25" s="106" t="s">
        <v>1297</v>
      </c>
      <c r="P25" s="951">
        <v>7</v>
      </c>
      <c r="Q25" s="956">
        <f t="shared" si="0"/>
        <v>7</v>
      </c>
      <c r="R25" s="957">
        <f>IF(P18&gt;=9.1,0,IF(P18&lt;=9.1,-2.5))</f>
        <v>-2.5</v>
      </c>
      <c r="S25" s="961" t="s">
        <v>1298</v>
      </c>
      <c r="T25" s="962">
        <f t="shared" si="1"/>
        <v>4.5</v>
      </c>
      <c r="U25" s="106">
        <f>U18</f>
        <v>20.5</v>
      </c>
      <c r="V25" s="963">
        <f t="shared" si="2"/>
        <v>92.25</v>
      </c>
      <c r="W25"/>
      <c r="X25"/>
      <c r="Y25"/>
      <c r="Z25"/>
      <c r="AA25"/>
      <c r="AB25"/>
      <c r="AC25"/>
      <c r="AD25"/>
      <c r="AE25"/>
      <c r="AF25"/>
      <c r="AG25"/>
      <c r="AH25"/>
      <c r="AI25"/>
      <c r="AJ25"/>
      <c r="AK25"/>
      <c r="AL25"/>
    </row>
    <row r="26" spans="2:38">
      <c r="B26" s="1130"/>
      <c r="C26" s="2" t="s">
        <v>65</v>
      </c>
      <c r="D26" s="2" t="s">
        <v>1294</v>
      </c>
      <c r="E26" s="2">
        <f t="shared" si="3"/>
        <v>3.5</v>
      </c>
      <c r="F26" s="2" t="s">
        <v>1168</v>
      </c>
      <c r="G26" s="2" t="s">
        <v>1267</v>
      </c>
      <c r="M26"/>
      <c r="N26" s="106" t="s">
        <v>69</v>
      </c>
      <c r="O26" s="106" t="s">
        <v>1299</v>
      </c>
      <c r="P26" s="951">
        <v>6</v>
      </c>
      <c r="Q26" s="956">
        <f t="shared" si="0"/>
        <v>6</v>
      </c>
      <c r="R26" s="957">
        <f>IF(P22&gt;=9.1,0,IF(P22&lt;=9.1,-2.5))</f>
        <v>-2.5</v>
      </c>
      <c r="S26" s="961" t="s">
        <v>1298</v>
      </c>
      <c r="T26" s="962">
        <f t="shared" si="1"/>
        <v>3.5</v>
      </c>
      <c r="U26" s="106">
        <f>U18</f>
        <v>20.5</v>
      </c>
      <c r="V26" s="963">
        <f t="shared" si="2"/>
        <v>71.75</v>
      </c>
      <c r="W26"/>
      <c r="X26"/>
      <c r="Y26"/>
      <c r="Z26"/>
      <c r="AA26"/>
      <c r="AB26"/>
      <c r="AC26"/>
      <c r="AD26"/>
      <c r="AE26"/>
      <c r="AF26"/>
      <c r="AG26"/>
      <c r="AH26"/>
      <c r="AI26"/>
      <c r="AJ26"/>
      <c r="AK26"/>
      <c r="AL26"/>
    </row>
    <row r="27" spans="2:38">
      <c r="B27" s="1130"/>
      <c r="C27" s="2" t="s">
        <v>66</v>
      </c>
      <c r="D27" s="2" t="s">
        <v>1294</v>
      </c>
      <c r="E27" s="2">
        <f t="shared" si="3"/>
        <v>4.5</v>
      </c>
      <c r="F27" s="2" t="s">
        <v>1168</v>
      </c>
      <c r="G27" s="2" t="s">
        <v>1267</v>
      </c>
      <c r="M27"/>
      <c r="N27" s="106" t="s">
        <v>70</v>
      </c>
      <c r="O27" s="106" t="s">
        <v>1300</v>
      </c>
      <c r="P27" s="951">
        <v>5</v>
      </c>
      <c r="Q27" s="956">
        <f t="shared" si="0"/>
        <v>5</v>
      </c>
      <c r="R27" s="957">
        <f>IF(P22&gt;=9.1,0,IF(P22&lt;=9.1,-2.5))</f>
        <v>-2.5</v>
      </c>
      <c r="S27" s="961" t="s">
        <v>1298</v>
      </c>
      <c r="T27" s="962">
        <f t="shared" si="1"/>
        <v>2.5</v>
      </c>
      <c r="U27" s="106">
        <f>U18</f>
        <v>20.5</v>
      </c>
      <c r="V27" s="963">
        <f t="shared" si="2"/>
        <v>51.25</v>
      </c>
      <c r="W27"/>
      <c r="X27"/>
      <c r="Y27"/>
      <c r="Z27"/>
      <c r="AA27"/>
      <c r="AB27"/>
      <c r="AC27"/>
      <c r="AD27"/>
      <c r="AE27"/>
      <c r="AF27"/>
      <c r="AG27"/>
      <c r="AH27"/>
      <c r="AI27"/>
      <c r="AJ27"/>
      <c r="AK27"/>
      <c r="AL27"/>
    </row>
    <row r="28" spans="2:38">
      <c r="B28" s="1130"/>
      <c r="C28" s="2" t="s">
        <v>67</v>
      </c>
      <c r="D28" s="2" t="s">
        <v>1294</v>
      </c>
      <c r="E28" s="246">
        <f t="shared" si="3"/>
        <v>5</v>
      </c>
      <c r="F28" s="2" t="s">
        <v>1168</v>
      </c>
      <c r="G28" s="2" t="s">
        <v>1269</v>
      </c>
      <c r="M28"/>
      <c r="N28"/>
      <c r="O28" t="s">
        <v>1301</v>
      </c>
      <c r="P28" s="964"/>
      <c r="Q28"/>
      <c r="R28"/>
      <c r="S28"/>
      <c r="T28"/>
      <c r="U28"/>
      <c r="V28"/>
      <c r="W28"/>
      <c r="X28"/>
      <c r="Y28"/>
      <c r="Z28"/>
      <c r="AA28"/>
      <c r="AB28"/>
      <c r="AC28"/>
      <c r="AD28"/>
      <c r="AE28"/>
      <c r="AF28"/>
      <c r="AG28"/>
      <c r="AH28"/>
      <c r="AI28"/>
      <c r="AJ28"/>
      <c r="AK28"/>
      <c r="AL28"/>
    </row>
    <row r="29" spans="2:38">
      <c r="B29" s="1130"/>
      <c r="C29" s="2" t="s">
        <v>68</v>
      </c>
      <c r="D29" s="2" t="s">
        <v>1294</v>
      </c>
      <c r="E29" s="2">
        <f t="shared" si="3"/>
        <v>4.5</v>
      </c>
      <c r="F29" s="2" t="s">
        <v>1168</v>
      </c>
      <c r="G29" s="2" t="s">
        <v>1272</v>
      </c>
      <c r="M29"/>
      <c r="N29"/>
      <c r="O29" t="s">
        <v>1302</v>
      </c>
      <c r="P29"/>
      <c r="Q29"/>
      <c r="R29"/>
      <c r="S29"/>
      <c r="T29"/>
      <c r="U29"/>
      <c r="V29"/>
      <c r="W29"/>
      <c r="X29"/>
      <c r="Y29"/>
      <c r="Z29"/>
      <c r="AA29"/>
      <c r="AB29"/>
      <c r="AC29"/>
      <c r="AD29"/>
      <c r="AE29"/>
      <c r="AF29"/>
      <c r="AG29"/>
      <c r="AH29"/>
      <c r="AI29"/>
      <c r="AJ29"/>
      <c r="AK29"/>
      <c r="AL29"/>
    </row>
    <row r="30" spans="2:38">
      <c r="B30" s="1130"/>
      <c r="C30" s="2" t="s">
        <v>69</v>
      </c>
      <c r="D30" s="2" t="s">
        <v>1294</v>
      </c>
      <c r="E30" s="2">
        <f t="shared" si="3"/>
        <v>3.5</v>
      </c>
      <c r="F30" s="2" t="s">
        <v>1168</v>
      </c>
      <c r="G30" s="2" t="s">
        <v>1272</v>
      </c>
      <c r="M30"/>
      <c r="N30"/>
      <c r="O30" t="s">
        <v>1303</v>
      </c>
      <c r="P30"/>
      <c r="Q30"/>
      <c r="R30"/>
      <c r="S30"/>
      <c r="T30"/>
      <c r="U30"/>
      <c r="V30"/>
      <c r="W30"/>
      <c r="X30"/>
      <c r="Y30"/>
      <c r="Z30"/>
      <c r="AA30"/>
      <c r="AB30"/>
      <c r="AC30"/>
      <c r="AD30"/>
      <c r="AE30"/>
      <c r="AF30"/>
      <c r="AG30"/>
      <c r="AH30"/>
      <c r="AI30"/>
      <c r="AJ30"/>
      <c r="AK30"/>
      <c r="AL30"/>
    </row>
    <row r="31" spans="2:38">
      <c r="B31" s="1130"/>
      <c r="C31" s="2" t="s">
        <v>70</v>
      </c>
      <c r="D31" s="2" t="s">
        <v>1294</v>
      </c>
      <c r="E31" s="2">
        <f t="shared" si="3"/>
        <v>2.5</v>
      </c>
      <c r="F31" s="2" t="s">
        <v>1168</v>
      </c>
      <c r="G31" s="2" t="s">
        <v>1272</v>
      </c>
      <c r="M31"/>
      <c r="N31"/>
      <c r="O31"/>
      <c r="P31"/>
      <c r="Q31"/>
      <c r="R31"/>
      <c r="S31"/>
      <c r="T31"/>
      <c r="U31"/>
      <c r="V31"/>
      <c r="W31"/>
      <c r="X31"/>
      <c r="Y31"/>
      <c r="Z31"/>
      <c r="AA31"/>
      <c r="AB31"/>
      <c r="AC31"/>
      <c r="AD31"/>
      <c r="AE31"/>
      <c r="AF31"/>
      <c r="AG31"/>
      <c r="AH31"/>
      <c r="AI31"/>
      <c r="AJ31"/>
      <c r="AK31"/>
      <c r="AL31"/>
    </row>
    <row r="32" spans="2:38">
      <c r="B32" s="1130" t="s">
        <v>825</v>
      </c>
      <c r="C32" s="943" t="s">
        <v>63</v>
      </c>
      <c r="D32" s="943" t="s">
        <v>1304</v>
      </c>
      <c r="E32" s="944" t="s">
        <v>1262</v>
      </c>
      <c r="F32" s="945" t="s">
        <v>54</v>
      </c>
      <c r="G32" s="943" t="s">
        <v>1263</v>
      </c>
      <c r="M32"/>
      <c r="N32"/>
      <c r="O32"/>
      <c r="P32"/>
      <c r="Q32"/>
      <c r="R32"/>
      <c r="S32"/>
      <c r="T32"/>
      <c r="U32"/>
      <c r="V32"/>
      <c r="W32"/>
      <c r="X32"/>
      <c r="Y32"/>
      <c r="Z32"/>
      <c r="AA32"/>
      <c r="AB32"/>
      <c r="AC32"/>
      <c r="AD32"/>
      <c r="AE32"/>
      <c r="AF32"/>
      <c r="AG32"/>
      <c r="AH32"/>
      <c r="AI32"/>
      <c r="AJ32"/>
      <c r="AK32"/>
      <c r="AL32"/>
    </row>
    <row r="33" spans="2:38">
      <c r="B33" s="1130"/>
      <c r="C33" s="943" t="s">
        <v>64</v>
      </c>
      <c r="D33" s="943" t="s">
        <v>1304</v>
      </c>
      <c r="E33" s="944" t="s">
        <v>1262</v>
      </c>
      <c r="F33" s="945" t="s">
        <v>54</v>
      </c>
      <c r="G33" s="943" t="s">
        <v>1263</v>
      </c>
      <c r="M33"/>
      <c r="N33"/>
      <c r="O33"/>
      <c r="P33"/>
      <c r="Q33"/>
      <c r="R33"/>
      <c r="S33"/>
      <c r="T33"/>
      <c r="U33"/>
      <c r="V33"/>
      <c r="W33"/>
      <c r="X33"/>
      <c r="Y33"/>
      <c r="Z33"/>
      <c r="AA33"/>
      <c r="AB33"/>
      <c r="AC33"/>
      <c r="AD33"/>
      <c r="AE33"/>
      <c r="AF33"/>
      <c r="AG33"/>
      <c r="AH33"/>
      <c r="AI33"/>
      <c r="AJ33"/>
      <c r="AK33"/>
      <c r="AL33"/>
    </row>
    <row r="34" spans="2:38">
      <c r="B34" s="1130"/>
      <c r="C34" s="943" t="s">
        <v>65</v>
      </c>
      <c r="D34" s="943" t="s">
        <v>1304</v>
      </c>
      <c r="E34" s="944" t="s">
        <v>1262</v>
      </c>
      <c r="F34" s="945" t="s">
        <v>54</v>
      </c>
      <c r="G34" s="943" t="s">
        <v>1263</v>
      </c>
      <c r="M34"/>
      <c r="N34"/>
      <c r="O34"/>
      <c r="P34"/>
      <c r="Q34"/>
      <c r="R34"/>
      <c r="S34"/>
      <c r="T34"/>
      <c r="U34"/>
      <c r="V34"/>
      <c r="W34"/>
      <c r="X34"/>
      <c r="Y34"/>
      <c r="Z34"/>
      <c r="AA34"/>
      <c r="AB34"/>
      <c r="AC34"/>
      <c r="AD34"/>
      <c r="AE34"/>
      <c r="AF34"/>
      <c r="AG34"/>
      <c r="AH34"/>
      <c r="AI34"/>
      <c r="AJ34"/>
      <c r="AK34"/>
      <c r="AL34"/>
    </row>
    <row r="35" spans="2:38">
      <c r="B35" s="1130"/>
      <c r="C35" s="943" t="s">
        <v>66</v>
      </c>
      <c r="D35" s="943" t="s">
        <v>1304</v>
      </c>
      <c r="E35" s="944" t="s">
        <v>1262</v>
      </c>
      <c r="F35" s="945" t="s">
        <v>54</v>
      </c>
      <c r="G35" s="943" t="s">
        <v>1263</v>
      </c>
      <c r="M35"/>
      <c r="N35"/>
      <c r="O35"/>
      <c r="P35"/>
      <c r="Q35"/>
      <c r="R35"/>
      <c r="S35"/>
      <c r="T35"/>
      <c r="U35"/>
      <c r="V35"/>
      <c r="W35"/>
      <c r="X35"/>
      <c r="Y35"/>
      <c r="Z35"/>
      <c r="AA35"/>
      <c r="AB35"/>
      <c r="AC35"/>
      <c r="AD35"/>
      <c r="AE35"/>
      <c r="AF35"/>
      <c r="AG35"/>
      <c r="AH35"/>
      <c r="AI35"/>
      <c r="AJ35"/>
      <c r="AK35"/>
      <c r="AL35"/>
    </row>
    <row r="36" spans="2:38">
      <c r="B36" s="1130"/>
      <c r="C36" s="943" t="s">
        <v>67</v>
      </c>
      <c r="D36" s="943" t="s">
        <v>1304</v>
      </c>
      <c r="E36" s="944" t="s">
        <v>1262</v>
      </c>
      <c r="F36" s="945" t="s">
        <v>54</v>
      </c>
      <c r="G36" s="943" t="s">
        <v>1263</v>
      </c>
      <c r="M36"/>
      <c r="N36"/>
      <c r="O36"/>
      <c r="P36"/>
      <c r="Q36"/>
      <c r="R36"/>
      <c r="S36"/>
      <c r="T36"/>
      <c r="U36"/>
      <c r="V36"/>
      <c r="W36"/>
      <c r="X36"/>
      <c r="Y36"/>
      <c r="Z36"/>
      <c r="AA36"/>
      <c r="AB36"/>
      <c r="AC36"/>
      <c r="AD36"/>
      <c r="AE36"/>
      <c r="AF36"/>
      <c r="AG36"/>
      <c r="AH36"/>
      <c r="AI36"/>
      <c r="AJ36"/>
      <c r="AK36"/>
      <c r="AL36"/>
    </row>
    <row r="37" spans="2:38">
      <c r="B37" s="1130"/>
      <c r="C37" s="943" t="s">
        <v>68</v>
      </c>
      <c r="D37" s="943" t="s">
        <v>1304</v>
      </c>
      <c r="E37" s="944" t="s">
        <v>1262</v>
      </c>
      <c r="F37" s="945" t="s">
        <v>54</v>
      </c>
      <c r="G37" s="943" t="s">
        <v>1263</v>
      </c>
      <c r="M37"/>
      <c r="N37"/>
      <c r="O37"/>
      <c r="P37"/>
      <c r="Q37"/>
      <c r="R37"/>
      <c r="S37"/>
      <c r="T37"/>
      <c r="U37"/>
      <c r="V37"/>
      <c r="W37"/>
      <c r="X37"/>
      <c r="Y37"/>
      <c r="Z37"/>
      <c r="AA37"/>
      <c r="AB37"/>
      <c r="AC37"/>
      <c r="AD37"/>
      <c r="AE37"/>
      <c r="AF37"/>
      <c r="AG37"/>
      <c r="AH37"/>
      <c r="AI37"/>
      <c r="AJ37"/>
      <c r="AK37"/>
      <c r="AL37"/>
    </row>
    <row r="38" spans="2:38">
      <c r="B38" s="1130"/>
      <c r="C38" s="943" t="s">
        <v>69</v>
      </c>
      <c r="D38" s="943" t="s">
        <v>1304</v>
      </c>
      <c r="E38" s="944" t="s">
        <v>1262</v>
      </c>
      <c r="F38" s="945" t="s">
        <v>54</v>
      </c>
      <c r="G38" s="943" t="s">
        <v>1263</v>
      </c>
      <c r="M38"/>
      <c r="N38"/>
      <c r="O38"/>
      <c r="P38" t="s">
        <v>1305</v>
      </c>
      <c r="Q38"/>
      <c r="R38"/>
      <c r="S38"/>
      <c r="T38"/>
      <c r="U38"/>
      <c r="V38"/>
      <c r="W38"/>
      <c r="X38"/>
      <c r="Y38"/>
      <c r="Z38"/>
      <c r="AA38"/>
      <c r="AB38"/>
      <c r="AC38"/>
      <c r="AD38"/>
      <c r="AE38"/>
      <c r="AF38"/>
      <c r="AG38"/>
      <c r="AH38"/>
      <c r="AI38"/>
      <c r="AJ38"/>
      <c r="AK38"/>
      <c r="AL38"/>
    </row>
    <row r="39" spans="2:38">
      <c r="B39" s="1130"/>
      <c r="C39" s="943" t="s">
        <v>70</v>
      </c>
      <c r="D39" s="943" t="s">
        <v>1304</v>
      </c>
      <c r="E39" s="944" t="s">
        <v>1262</v>
      </c>
      <c r="F39" s="945" t="s">
        <v>54</v>
      </c>
      <c r="G39" s="943" t="s">
        <v>1263</v>
      </c>
      <c r="M39"/>
      <c r="N39"/>
      <c r="O39" s="965">
        <v>1</v>
      </c>
      <c r="P39" s="965" t="s">
        <v>1306</v>
      </c>
      <c r="Q39"/>
      <c r="R39"/>
      <c r="S39"/>
      <c r="T39"/>
      <c r="U39"/>
      <c r="V39"/>
      <c r="W39"/>
      <c r="X39"/>
      <c r="Y39"/>
      <c r="Z39"/>
      <c r="AA39"/>
      <c r="AB39"/>
      <c r="AC39"/>
      <c r="AD39"/>
      <c r="AE39"/>
      <c r="AF39"/>
      <c r="AG39"/>
      <c r="AH39"/>
      <c r="AI39"/>
      <c r="AJ39"/>
      <c r="AK39"/>
      <c r="AL39"/>
    </row>
    <row r="40" spans="2:38">
      <c r="M40"/>
      <c r="N40"/>
      <c r="O40" s="965">
        <v>2</v>
      </c>
      <c r="P40" s="965" t="s">
        <v>1307</v>
      </c>
      <c r="Q40"/>
      <c r="R40"/>
      <c r="S40"/>
      <c r="T40"/>
      <c r="U40"/>
      <c r="V40"/>
      <c r="W40"/>
      <c r="X40"/>
      <c r="Y40"/>
      <c r="Z40"/>
      <c r="AA40"/>
      <c r="AB40"/>
      <c r="AC40"/>
      <c r="AD40"/>
      <c r="AE40"/>
      <c r="AF40"/>
      <c r="AG40"/>
      <c r="AH40"/>
      <c r="AI40"/>
      <c r="AJ40"/>
      <c r="AK40"/>
      <c r="AL40"/>
    </row>
    <row r="41" spans="2:38">
      <c r="M41"/>
      <c r="N41"/>
      <c r="O41" s="965">
        <v>3</v>
      </c>
      <c r="P41" s="965" t="s">
        <v>1308</v>
      </c>
      <c r="Q41" s="966">
        <v>0.35416666666666669</v>
      </c>
      <c r="R41" s="966"/>
      <c r="S41" s="966"/>
      <c r="T41"/>
      <c r="U41"/>
      <c r="V41"/>
      <c r="W41"/>
      <c r="X41"/>
      <c r="Y41"/>
      <c r="Z41"/>
      <c r="AA41"/>
      <c r="AB41"/>
      <c r="AC41"/>
      <c r="AD41"/>
      <c r="AE41"/>
      <c r="AF41"/>
      <c r="AG41"/>
      <c r="AH41"/>
      <c r="AI41"/>
      <c r="AJ41"/>
      <c r="AK41"/>
      <c r="AL41"/>
    </row>
    <row r="42" spans="2:38">
      <c r="M42"/>
      <c r="N42"/>
      <c r="O42" s="965">
        <v>4</v>
      </c>
      <c r="P42" s="965" t="s">
        <v>1309</v>
      </c>
      <c r="Q42" s="966">
        <v>0.375</v>
      </c>
      <c r="R42" s="966"/>
      <c r="S42" s="966"/>
      <c r="T42">
        <v>0.5</v>
      </c>
      <c r="U42"/>
      <c r="V42"/>
      <c r="W42"/>
      <c r="X42"/>
      <c r="Y42"/>
      <c r="Z42"/>
      <c r="AA42"/>
      <c r="AB42"/>
      <c r="AC42"/>
      <c r="AD42"/>
      <c r="AE42"/>
      <c r="AF42"/>
      <c r="AG42"/>
      <c r="AH42"/>
      <c r="AI42"/>
      <c r="AJ42"/>
      <c r="AK42"/>
      <c r="AL42"/>
    </row>
    <row r="43" spans="2:38">
      <c r="M43"/>
      <c r="N43"/>
      <c r="O43" s="965">
        <v>5</v>
      </c>
      <c r="P43" s="965" t="s">
        <v>1264</v>
      </c>
      <c r="Q43" s="966">
        <v>0.41666666666666669</v>
      </c>
      <c r="R43" s="966"/>
      <c r="S43" s="966"/>
      <c r="T43">
        <v>1</v>
      </c>
      <c r="U43"/>
      <c r="V43"/>
      <c r="W43"/>
      <c r="X43"/>
      <c r="Y43"/>
      <c r="Z43"/>
      <c r="AA43"/>
      <c r="AB43"/>
      <c r="AC43"/>
      <c r="AD43"/>
      <c r="AE43"/>
      <c r="AF43"/>
      <c r="AG43"/>
      <c r="AH43"/>
      <c r="AI43"/>
      <c r="AJ43"/>
      <c r="AK43"/>
      <c r="AL43"/>
    </row>
    <row r="44" spans="2:38">
      <c r="M44"/>
      <c r="N44"/>
      <c r="O44" s="965">
        <v>6</v>
      </c>
      <c r="P44" s="965" t="s">
        <v>1310</v>
      </c>
      <c r="Q44" s="966">
        <v>0.45833333333333331</v>
      </c>
      <c r="R44" s="966"/>
      <c r="S44" s="966"/>
      <c r="T44">
        <v>1</v>
      </c>
      <c r="U44"/>
      <c r="V44"/>
      <c r="W44"/>
      <c r="X44"/>
      <c r="Y44"/>
      <c r="Z44"/>
      <c r="AA44"/>
      <c r="AB44"/>
      <c r="AC44"/>
      <c r="AD44"/>
      <c r="AE44"/>
      <c r="AF44"/>
      <c r="AG44"/>
      <c r="AH44"/>
      <c r="AI44"/>
      <c r="AJ44"/>
      <c r="AK44"/>
      <c r="AL44"/>
    </row>
    <row r="45" spans="2:38">
      <c r="M45"/>
      <c r="N45"/>
      <c r="O45" s="965">
        <v>7</v>
      </c>
      <c r="P45" s="965" t="s">
        <v>1311</v>
      </c>
      <c r="Q45" s="967">
        <v>0.5</v>
      </c>
      <c r="R45" s="967"/>
      <c r="S45" s="967"/>
      <c r="T45">
        <v>1</v>
      </c>
      <c r="U45"/>
      <c r="V45"/>
      <c r="W45"/>
      <c r="X45"/>
      <c r="Y45"/>
      <c r="Z45"/>
      <c r="AA45"/>
      <c r="AB45"/>
      <c r="AC45"/>
      <c r="AD45"/>
      <c r="AE45"/>
      <c r="AF45"/>
      <c r="AG45"/>
      <c r="AH45"/>
      <c r="AI45"/>
      <c r="AJ45"/>
      <c r="AK45"/>
      <c r="AL45"/>
    </row>
    <row r="46" spans="2:38">
      <c r="M46"/>
      <c r="N46"/>
      <c r="O46" s="965">
        <v>8</v>
      </c>
      <c r="P46" s="965" t="s">
        <v>1312</v>
      </c>
      <c r="Q46" s="967">
        <v>0.54166666666666663</v>
      </c>
      <c r="R46" s="967"/>
      <c r="S46" s="967"/>
      <c r="T46" t="s">
        <v>1313</v>
      </c>
      <c r="U46"/>
      <c r="V46"/>
      <c r="W46"/>
      <c r="X46"/>
      <c r="Y46"/>
      <c r="Z46"/>
      <c r="AA46"/>
      <c r="AB46"/>
      <c r="AC46"/>
      <c r="AD46"/>
      <c r="AE46"/>
      <c r="AF46"/>
      <c r="AG46"/>
      <c r="AH46"/>
      <c r="AI46"/>
      <c r="AJ46"/>
      <c r="AK46"/>
      <c r="AL46"/>
    </row>
    <row r="47" spans="2:38">
      <c r="M47"/>
      <c r="N47"/>
      <c r="O47" s="965">
        <v>9</v>
      </c>
      <c r="P47" s="965" t="s">
        <v>1265</v>
      </c>
      <c r="Q47" s="966">
        <v>0.58333333333333304</v>
      </c>
      <c r="R47" s="966"/>
      <c r="S47" s="966"/>
      <c r="T47">
        <v>1</v>
      </c>
      <c r="U47"/>
      <c r="V47"/>
      <c r="W47"/>
      <c r="X47"/>
      <c r="Y47"/>
      <c r="Z47"/>
      <c r="AA47"/>
      <c r="AB47"/>
      <c r="AC47"/>
      <c r="AD47"/>
      <c r="AE47"/>
      <c r="AF47"/>
      <c r="AG47"/>
      <c r="AH47"/>
      <c r="AI47"/>
      <c r="AJ47"/>
      <c r="AK47"/>
      <c r="AL47"/>
    </row>
    <row r="48" spans="2:38">
      <c r="M48"/>
      <c r="N48"/>
      <c r="O48" s="965">
        <v>10</v>
      </c>
      <c r="P48" s="965" t="s">
        <v>1314</v>
      </c>
      <c r="Q48" s="966">
        <v>0.625</v>
      </c>
      <c r="R48" s="966"/>
      <c r="S48" s="966"/>
      <c r="T48">
        <v>1</v>
      </c>
      <c r="U48"/>
      <c r="V48"/>
      <c r="W48"/>
      <c r="X48"/>
      <c r="Y48"/>
      <c r="Z48"/>
      <c r="AA48"/>
      <c r="AB48"/>
      <c r="AC48"/>
      <c r="AD48"/>
      <c r="AE48"/>
      <c r="AF48"/>
      <c r="AG48"/>
      <c r="AH48"/>
      <c r="AI48"/>
      <c r="AJ48"/>
      <c r="AK48"/>
      <c r="AL48"/>
    </row>
    <row r="49" spans="13:38">
      <c r="M49"/>
      <c r="N49"/>
      <c r="O49" s="965">
        <v>11</v>
      </c>
      <c r="P49" s="965" t="s">
        <v>1315</v>
      </c>
      <c r="Q49" s="966">
        <v>0.66666666666666596</v>
      </c>
      <c r="R49" s="966"/>
      <c r="S49" s="966"/>
      <c r="T49">
        <v>1</v>
      </c>
      <c r="U49"/>
      <c r="V49"/>
      <c r="W49"/>
      <c r="X49"/>
      <c r="Y49"/>
      <c r="Z49"/>
      <c r="AA49"/>
      <c r="AB49"/>
      <c r="AC49"/>
      <c r="AD49"/>
      <c r="AE49"/>
      <c r="AF49"/>
      <c r="AG49"/>
      <c r="AH49"/>
      <c r="AI49"/>
      <c r="AJ49"/>
      <c r="AK49"/>
      <c r="AL49"/>
    </row>
    <row r="50" spans="13:38">
      <c r="M50"/>
      <c r="N50"/>
      <c r="O50" s="965">
        <v>12</v>
      </c>
      <c r="P50" s="965" t="s">
        <v>1316</v>
      </c>
      <c r="Q50" s="966">
        <v>0.70833333333333304</v>
      </c>
      <c r="R50" s="966"/>
      <c r="S50" s="966"/>
      <c r="T50">
        <v>1</v>
      </c>
      <c r="U50"/>
      <c r="V50"/>
      <c r="W50"/>
      <c r="X50"/>
      <c r="Y50"/>
      <c r="Z50"/>
      <c r="AA50"/>
      <c r="AB50"/>
      <c r="AC50"/>
      <c r="AD50"/>
      <c r="AE50"/>
      <c r="AF50"/>
      <c r="AG50"/>
      <c r="AH50"/>
      <c r="AI50"/>
      <c r="AJ50"/>
      <c r="AK50"/>
      <c r="AL50"/>
    </row>
    <row r="51" spans="13:38">
      <c r="M51"/>
      <c r="N51"/>
      <c r="O51" s="965">
        <v>13</v>
      </c>
      <c r="P51" s="965" t="s">
        <v>1317</v>
      </c>
      <c r="Q51" s="966">
        <v>0.72916666666666663</v>
      </c>
      <c r="R51" s="966"/>
      <c r="S51" s="966"/>
      <c r="T51">
        <v>0.5</v>
      </c>
      <c r="U51"/>
      <c r="V51"/>
      <c r="W51"/>
      <c r="X51"/>
      <c r="Y51"/>
      <c r="Z51"/>
      <c r="AA51"/>
      <c r="AB51"/>
      <c r="AC51"/>
      <c r="AD51"/>
      <c r="AE51"/>
      <c r="AF51"/>
      <c r="AG51"/>
      <c r="AH51"/>
      <c r="AI51"/>
      <c r="AJ51"/>
      <c r="AK51"/>
      <c r="AL51"/>
    </row>
    <row r="52" spans="13:38">
      <c r="M52"/>
      <c r="N52"/>
      <c r="O52"/>
      <c r="P52" t="s">
        <v>1318</v>
      </c>
      <c r="Q52"/>
      <c r="R52"/>
      <c r="S52"/>
      <c r="T52">
        <f>SUM(T42:T51)</f>
        <v>8</v>
      </c>
      <c r="U52"/>
      <c r="V52"/>
      <c r="W52"/>
      <c r="X52"/>
      <c r="Y52"/>
      <c r="Z52"/>
      <c r="AA52"/>
      <c r="AB52"/>
      <c r="AC52"/>
      <c r="AD52"/>
      <c r="AE52"/>
      <c r="AF52"/>
      <c r="AG52"/>
      <c r="AH52"/>
      <c r="AI52"/>
      <c r="AJ52"/>
      <c r="AK52"/>
      <c r="AL52"/>
    </row>
    <row r="53" spans="13:38">
      <c r="M53"/>
      <c r="N53"/>
      <c r="O53"/>
      <c r="P53" t="s">
        <v>1319</v>
      </c>
      <c r="Q53"/>
      <c r="R53"/>
      <c r="S53"/>
      <c r="T53"/>
      <c r="U53"/>
      <c r="V53"/>
      <c r="W53"/>
      <c r="X53"/>
      <c r="Y53"/>
      <c r="Z53"/>
      <c r="AA53"/>
      <c r="AB53"/>
      <c r="AC53"/>
      <c r="AD53"/>
      <c r="AE53"/>
      <c r="AF53"/>
      <c r="AG53"/>
      <c r="AH53"/>
      <c r="AI53"/>
      <c r="AJ53"/>
      <c r="AK53"/>
      <c r="AL53"/>
    </row>
    <row r="54" spans="13:38">
      <c r="M54"/>
      <c r="N54"/>
      <c r="O54"/>
      <c r="P54"/>
      <c r="Q54"/>
      <c r="R54"/>
      <c r="S54"/>
      <c r="T54"/>
      <c r="U54"/>
      <c r="V54"/>
      <c r="W54"/>
      <c r="X54"/>
      <c r="Y54"/>
      <c r="Z54"/>
      <c r="AA54"/>
      <c r="AB54"/>
      <c r="AC54"/>
      <c r="AD54"/>
      <c r="AE54"/>
      <c r="AF54"/>
      <c r="AG54"/>
      <c r="AH54"/>
      <c r="AI54"/>
      <c r="AJ54"/>
      <c r="AK54"/>
      <c r="AL54"/>
    </row>
    <row r="55" spans="13:38">
      <c r="M55"/>
      <c r="N55"/>
      <c r="O55"/>
      <c r="P55"/>
      <c r="Q55"/>
      <c r="R55"/>
      <c r="S55"/>
      <c r="T55"/>
      <c r="U55"/>
      <c r="V55"/>
      <c r="W55"/>
      <c r="X55"/>
      <c r="Y55"/>
      <c r="Z55"/>
      <c r="AA55"/>
      <c r="AB55"/>
      <c r="AC55"/>
      <c r="AD55"/>
      <c r="AE55"/>
      <c r="AF55"/>
      <c r="AG55"/>
      <c r="AH55"/>
      <c r="AI55"/>
      <c r="AJ55"/>
      <c r="AK55"/>
      <c r="AL55"/>
    </row>
    <row r="56" spans="13:38">
      <c r="M56"/>
      <c r="N56"/>
      <c r="O56"/>
      <c r="P56"/>
      <c r="Q56"/>
      <c r="R56"/>
      <c r="S56"/>
      <c r="T56"/>
      <c r="U56"/>
      <c r="V56"/>
      <c r="W56"/>
      <c r="X56"/>
      <c r="Y56"/>
      <c r="Z56"/>
      <c r="AA56"/>
      <c r="AB56"/>
      <c r="AC56"/>
      <c r="AD56"/>
      <c r="AE56"/>
      <c r="AF56"/>
      <c r="AG56"/>
      <c r="AH56"/>
      <c r="AI56"/>
      <c r="AJ56"/>
      <c r="AK56"/>
      <c r="AL56"/>
    </row>
    <row r="57" spans="13:38">
      <c r="M57"/>
      <c r="N57"/>
      <c r="O57"/>
      <c r="P57"/>
      <c r="Q57"/>
      <c r="R57"/>
      <c r="S57"/>
      <c r="T57"/>
      <c r="U57"/>
      <c r="V57"/>
      <c r="W57"/>
      <c r="X57"/>
      <c r="Y57"/>
      <c r="Z57"/>
      <c r="AA57"/>
      <c r="AB57"/>
      <c r="AC57"/>
      <c r="AD57"/>
      <c r="AE57"/>
      <c r="AF57"/>
      <c r="AG57"/>
      <c r="AH57"/>
      <c r="AI57"/>
      <c r="AJ57"/>
      <c r="AK57"/>
      <c r="AL57"/>
    </row>
    <row r="58" spans="13:38">
      <c r="M58"/>
      <c r="N58"/>
      <c r="O58"/>
      <c r="P58"/>
      <c r="Q58"/>
      <c r="R58"/>
      <c r="S58"/>
      <c r="T58"/>
      <c r="U58"/>
      <c r="V58"/>
      <c r="W58"/>
      <c r="X58"/>
      <c r="Y58"/>
      <c r="Z58"/>
      <c r="AA58"/>
      <c r="AB58"/>
      <c r="AC58"/>
      <c r="AD58"/>
      <c r="AE58"/>
      <c r="AF58"/>
      <c r="AG58"/>
      <c r="AH58"/>
      <c r="AI58"/>
      <c r="AJ58"/>
      <c r="AK58"/>
      <c r="AL58"/>
    </row>
    <row r="59" spans="13:38">
      <c r="M59"/>
      <c r="N59"/>
      <c r="O59"/>
      <c r="P59"/>
      <c r="Q59"/>
      <c r="R59"/>
      <c r="S59"/>
      <c r="T59"/>
      <c r="U59"/>
      <c r="V59"/>
      <c r="W59"/>
      <c r="X59"/>
      <c r="Y59"/>
      <c r="Z59"/>
      <c r="AA59"/>
      <c r="AB59"/>
      <c r="AC59"/>
      <c r="AD59"/>
      <c r="AE59"/>
      <c r="AF59"/>
      <c r="AG59"/>
      <c r="AH59"/>
      <c r="AI59"/>
      <c r="AJ59"/>
      <c r="AK59"/>
      <c r="AL59"/>
    </row>
    <row r="60" spans="13:38">
      <c r="M60"/>
      <c r="N60"/>
      <c r="O60"/>
      <c r="P60"/>
      <c r="Q60"/>
      <c r="R60"/>
      <c r="S60"/>
      <c r="T60"/>
      <c r="U60"/>
      <c r="V60"/>
      <c r="W60"/>
      <c r="X60"/>
      <c r="Y60"/>
      <c r="Z60"/>
      <c r="AA60"/>
      <c r="AB60"/>
      <c r="AC60"/>
      <c r="AD60"/>
      <c r="AE60"/>
      <c r="AF60"/>
      <c r="AG60"/>
      <c r="AH60"/>
      <c r="AI60"/>
      <c r="AJ60"/>
      <c r="AK60"/>
      <c r="AL60"/>
    </row>
    <row r="61" spans="13:38">
      <c r="M61"/>
      <c r="N61"/>
      <c r="O61"/>
      <c r="P61"/>
      <c r="Q61"/>
      <c r="R61"/>
      <c r="S61"/>
      <c r="T61"/>
      <c r="U61"/>
      <c r="V61"/>
      <c r="W61"/>
      <c r="X61"/>
      <c r="Y61"/>
      <c r="Z61"/>
      <c r="AA61"/>
      <c r="AB61"/>
      <c r="AC61"/>
      <c r="AD61"/>
      <c r="AE61"/>
      <c r="AF61"/>
      <c r="AG61"/>
      <c r="AH61"/>
      <c r="AI61"/>
      <c r="AJ61"/>
      <c r="AK61"/>
      <c r="AL61"/>
    </row>
    <row r="62" spans="13:38">
      <c r="M62"/>
      <c r="N62"/>
      <c r="O62"/>
      <c r="P62"/>
      <c r="Q62"/>
      <c r="R62"/>
      <c r="S62"/>
      <c r="T62"/>
      <c r="U62"/>
      <c r="V62"/>
      <c r="W62"/>
      <c r="X62"/>
      <c r="Y62"/>
      <c r="Z62"/>
      <c r="AA62"/>
      <c r="AB62"/>
      <c r="AC62"/>
      <c r="AD62"/>
      <c r="AE62"/>
      <c r="AF62"/>
      <c r="AG62"/>
      <c r="AH62"/>
      <c r="AI62"/>
      <c r="AJ62"/>
      <c r="AK62"/>
      <c r="AL62"/>
    </row>
    <row r="63" spans="13:38">
      <c r="M63"/>
      <c r="N63"/>
      <c r="O63"/>
      <c r="P63"/>
      <c r="Q63"/>
      <c r="R63"/>
      <c r="S63"/>
      <c r="T63"/>
      <c r="U63"/>
      <c r="V63"/>
      <c r="W63"/>
      <c r="X63"/>
      <c r="Y63"/>
      <c r="Z63"/>
      <c r="AA63"/>
      <c r="AB63"/>
      <c r="AC63"/>
      <c r="AD63"/>
      <c r="AE63"/>
      <c r="AF63"/>
      <c r="AG63"/>
      <c r="AH63"/>
      <c r="AI63"/>
      <c r="AJ63"/>
      <c r="AK63"/>
      <c r="AL63"/>
    </row>
    <row r="64" spans="13:38">
      <c r="M64"/>
      <c r="N64"/>
      <c r="O64"/>
      <c r="P64"/>
      <c r="Q64"/>
      <c r="R64"/>
      <c r="S64"/>
      <c r="T64"/>
      <c r="U64"/>
      <c r="V64"/>
      <c r="W64"/>
      <c r="X64"/>
      <c r="Y64"/>
      <c r="Z64"/>
      <c r="AA64"/>
      <c r="AB64"/>
      <c r="AC64"/>
      <c r="AD64"/>
      <c r="AE64"/>
      <c r="AF64"/>
      <c r="AG64"/>
      <c r="AH64"/>
      <c r="AI64"/>
      <c r="AJ64"/>
      <c r="AK64"/>
      <c r="AL64"/>
    </row>
    <row r="65" spans="13:38">
      <c r="M65"/>
      <c r="N65"/>
      <c r="O65"/>
      <c r="P65"/>
      <c r="Q65"/>
      <c r="R65"/>
      <c r="S65"/>
      <c r="T65"/>
      <c r="U65"/>
      <c r="V65"/>
      <c r="W65"/>
      <c r="X65"/>
      <c r="Y65"/>
      <c r="Z65"/>
      <c r="AA65"/>
      <c r="AB65"/>
      <c r="AC65"/>
      <c r="AD65"/>
      <c r="AE65"/>
      <c r="AF65"/>
      <c r="AG65"/>
      <c r="AH65"/>
      <c r="AI65"/>
      <c r="AJ65"/>
      <c r="AK65"/>
      <c r="AL65"/>
    </row>
    <row r="66" spans="13:38">
      <c r="M66"/>
      <c r="N66"/>
      <c r="O66"/>
      <c r="P66"/>
      <c r="Q66"/>
      <c r="R66"/>
      <c r="S66"/>
      <c r="T66"/>
      <c r="U66"/>
      <c r="V66"/>
      <c r="W66"/>
      <c r="X66"/>
      <c r="Y66"/>
      <c r="Z66"/>
      <c r="AA66"/>
      <c r="AB66"/>
      <c r="AC66"/>
      <c r="AD66"/>
      <c r="AE66"/>
      <c r="AF66"/>
      <c r="AG66"/>
      <c r="AH66"/>
      <c r="AI66"/>
      <c r="AJ66"/>
      <c r="AK66"/>
      <c r="AL66"/>
    </row>
    <row r="67" spans="13:38">
      <c r="M67"/>
      <c r="N67"/>
      <c r="O67"/>
      <c r="P67"/>
      <c r="Q67"/>
      <c r="R67"/>
      <c r="S67"/>
      <c r="T67"/>
      <c r="U67"/>
      <c r="V67"/>
      <c r="W67"/>
      <c r="X67"/>
      <c r="Y67"/>
      <c r="Z67"/>
      <c r="AA67"/>
      <c r="AB67"/>
      <c r="AC67"/>
      <c r="AD67"/>
      <c r="AE67"/>
      <c r="AF67"/>
      <c r="AG67"/>
      <c r="AH67"/>
      <c r="AI67"/>
      <c r="AJ67"/>
      <c r="AK67"/>
      <c r="AL67"/>
    </row>
    <row r="68" spans="13:38">
      <c r="M68"/>
      <c r="N68"/>
      <c r="O68"/>
      <c r="P68"/>
      <c r="Q68"/>
      <c r="R68"/>
      <c r="S68"/>
      <c r="T68"/>
      <c r="U68"/>
      <c r="V68"/>
      <c r="W68"/>
      <c r="X68"/>
      <c r="Y68"/>
      <c r="Z68"/>
      <c r="AA68"/>
      <c r="AB68"/>
      <c r="AC68"/>
      <c r="AD68"/>
      <c r="AE68"/>
      <c r="AF68"/>
      <c r="AG68"/>
      <c r="AH68"/>
      <c r="AI68"/>
      <c r="AJ68"/>
      <c r="AK68"/>
      <c r="AL68"/>
    </row>
    <row r="69" spans="13:38">
      <c r="M69"/>
      <c r="N69"/>
      <c r="O69"/>
      <c r="P69"/>
      <c r="Q69"/>
      <c r="R69"/>
      <c r="S69"/>
      <c r="T69"/>
      <c r="U69"/>
      <c r="V69"/>
      <c r="W69"/>
      <c r="X69"/>
      <c r="Y69"/>
      <c r="Z69"/>
      <c r="AA69"/>
      <c r="AB69"/>
      <c r="AC69"/>
      <c r="AD69"/>
      <c r="AE69"/>
      <c r="AF69"/>
      <c r="AG69"/>
      <c r="AH69"/>
      <c r="AI69"/>
      <c r="AJ69"/>
      <c r="AK69"/>
      <c r="AL69"/>
    </row>
    <row r="70" spans="13:38">
      <c r="M70"/>
      <c r="N70"/>
      <c r="O70"/>
      <c r="P70"/>
      <c r="Q70"/>
      <c r="R70"/>
      <c r="S70"/>
      <c r="T70"/>
      <c r="U70"/>
      <c r="V70"/>
      <c r="W70"/>
      <c r="X70"/>
      <c r="Y70"/>
      <c r="Z70"/>
      <c r="AA70"/>
      <c r="AB70"/>
      <c r="AC70"/>
      <c r="AD70"/>
      <c r="AE70"/>
      <c r="AF70"/>
      <c r="AG70"/>
      <c r="AH70"/>
      <c r="AI70"/>
      <c r="AJ70"/>
      <c r="AK70"/>
      <c r="AL70"/>
    </row>
    <row r="71" spans="13:38">
      <c r="M71"/>
      <c r="N71"/>
      <c r="O71"/>
      <c r="P71"/>
      <c r="Q71"/>
      <c r="R71"/>
      <c r="S71"/>
      <c r="T71"/>
      <c r="U71"/>
      <c r="V71"/>
      <c r="W71"/>
      <c r="X71"/>
      <c r="Y71"/>
      <c r="Z71"/>
      <c r="AA71"/>
      <c r="AB71"/>
      <c r="AC71"/>
      <c r="AD71"/>
      <c r="AE71"/>
      <c r="AF71"/>
      <c r="AG71"/>
      <c r="AH71"/>
      <c r="AI71"/>
      <c r="AJ71"/>
      <c r="AK71"/>
      <c r="AL71"/>
    </row>
    <row r="72" spans="13:38">
      <c r="M72"/>
      <c r="N72"/>
      <c r="O72"/>
      <c r="P72"/>
      <c r="Q72"/>
      <c r="R72"/>
      <c r="S72"/>
      <c r="T72"/>
      <c r="U72"/>
      <c r="V72"/>
      <c r="W72"/>
      <c r="X72"/>
      <c r="Y72"/>
      <c r="Z72"/>
      <c r="AA72"/>
      <c r="AB72"/>
      <c r="AC72"/>
      <c r="AD72"/>
      <c r="AE72"/>
      <c r="AF72"/>
      <c r="AG72"/>
      <c r="AH72"/>
      <c r="AI72"/>
      <c r="AJ72"/>
      <c r="AK72"/>
      <c r="AL72"/>
    </row>
    <row r="73" spans="13:38">
      <c r="M73"/>
      <c r="N73"/>
      <c r="O73"/>
      <c r="P73"/>
      <c r="Q73"/>
      <c r="R73"/>
      <c r="S73"/>
      <c r="T73"/>
      <c r="U73"/>
      <c r="V73"/>
      <c r="W73"/>
      <c r="X73"/>
      <c r="Y73"/>
      <c r="Z73"/>
      <c r="AA73"/>
      <c r="AB73"/>
      <c r="AC73"/>
      <c r="AD73"/>
      <c r="AE73"/>
      <c r="AF73"/>
      <c r="AG73"/>
      <c r="AH73"/>
      <c r="AI73"/>
      <c r="AJ73"/>
      <c r="AK73"/>
      <c r="AL73"/>
    </row>
    <row r="74" spans="13:38">
      <c r="M74"/>
      <c r="N74"/>
      <c r="O74"/>
      <c r="P74"/>
      <c r="Q74"/>
      <c r="R74"/>
      <c r="S74"/>
      <c r="T74"/>
      <c r="U74"/>
      <c r="V74"/>
      <c r="W74"/>
      <c r="X74"/>
      <c r="Y74"/>
      <c r="Z74"/>
      <c r="AA74"/>
      <c r="AB74"/>
      <c r="AC74"/>
      <c r="AD74"/>
      <c r="AE74"/>
      <c r="AF74"/>
      <c r="AG74"/>
      <c r="AH74"/>
      <c r="AI74"/>
      <c r="AJ74"/>
      <c r="AK74"/>
      <c r="AL74"/>
    </row>
    <row r="75" spans="13:38">
      <c r="M75"/>
      <c r="N75"/>
      <c r="O75"/>
      <c r="P75"/>
      <c r="Q75"/>
      <c r="R75"/>
      <c r="S75"/>
      <c r="T75"/>
      <c r="U75"/>
      <c r="V75"/>
      <c r="W75"/>
      <c r="X75"/>
      <c r="Y75"/>
      <c r="Z75"/>
      <c r="AA75"/>
      <c r="AB75"/>
      <c r="AC75"/>
      <c r="AD75"/>
      <c r="AE75"/>
      <c r="AF75"/>
      <c r="AG75"/>
      <c r="AH75"/>
      <c r="AI75"/>
      <c r="AJ75"/>
      <c r="AK75"/>
      <c r="AL75"/>
    </row>
    <row r="76" spans="13:38">
      <c r="M76"/>
      <c r="N76"/>
      <c r="O76"/>
      <c r="P76"/>
      <c r="Q76"/>
      <c r="R76"/>
      <c r="S76"/>
      <c r="T76"/>
      <c r="U76"/>
      <c r="V76"/>
      <c r="W76"/>
      <c r="X76"/>
      <c r="Y76"/>
      <c r="Z76"/>
      <c r="AA76"/>
      <c r="AB76"/>
      <c r="AC76"/>
      <c r="AD76"/>
      <c r="AE76"/>
      <c r="AF76"/>
      <c r="AG76"/>
      <c r="AH76"/>
      <c r="AI76"/>
      <c r="AJ76"/>
      <c r="AK76"/>
      <c r="AL76"/>
    </row>
    <row r="77" spans="13:38">
      <c r="M77"/>
      <c r="N77"/>
      <c r="O77"/>
      <c r="P77"/>
      <c r="Q77"/>
      <c r="R77"/>
      <c r="S77"/>
      <c r="T77"/>
      <c r="U77"/>
      <c r="V77"/>
      <c r="W77"/>
      <c r="X77"/>
      <c r="Y77"/>
      <c r="Z77"/>
      <c r="AA77"/>
      <c r="AB77"/>
      <c r="AC77"/>
      <c r="AD77"/>
      <c r="AE77"/>
      <c r="AF77"/>
      <c r="AG77"/>
      <c r="AH77"/>
      <c r="AI77"/>
      <c r="AJ77"/>
      <c r="AK77"/>
      <c r="AL77"/>
    </row>
    <row r="78" spans="13:38">
      <c r="M78"/>
      <c r="N78"/>
      <c r="O78"/>
      <c r="P78"/>
      <c r="Q78"/>
      <c r="R78"/>
      <c r="S78"/>
      <c r="T78"/>
      <c r="U78"/>
      <c r="V78"/>
      <c r="W78"/>
      <c r="X78"/>
      <c r="Y78"/>
      <c r="Z78"/>
      <c r="AA78"/>
      <c r="AB78"/>
      <c r="AC78"/>
      <c r="AD78"/>
      <c r="AE78"/>
      <c r="AF78"/>
      <c r="AG78"/>
      <c r="AH78"/>
      <c r="AI78"/>
      <c r="AJ78"/>
      <c r="AK78"/>
      <c r="AL78"/>
    </row>
    <row r="79" spans="13:38">
      <c r="M79"/>
      <c r="N79"/>
      <c r="O79"/>
      <c r="P79"/>
      <c r="Q79"/>
      <c r="R79"/>
      <c r="S79"/>
      <c r="T79"/>
      <c r="U79"/>
      <c r="V79"/>
      <c r="W79"/>
      <c r="X79"/>
      <c r="Y79"/>
      <c r="Z79"/>
      <c r="AA79"/>
      <c r="AB79"/>
      <c r="AC79"/>
      <c r="AD79"/>
      <c r="AE79"/>
      <c r="AF79"/>
      <c r="AG79"/>
      <c r="AH79"/>
      <c r="AI79"/>
      <c r="AJ79"/>
      <c r="AK79"/>
      <c r="AL79"/>
    </row>
    <row r="80" spans="13:38">
      <c r="M80"/>
      <c r="N80"/>
      <c r="O80"/>
      <c r="P80"/>
      <c r="Q80"/>
      <c r="R80"/>
      <c r="S80"/>
      <c r="T80"/>
      <c r="U80"/>
      <c r="V80"/>
      <c r="W80"/>
      <c r="X80"/>
      <c r="Y80"/>
      <c r="Z80"/>
      <c r="AA80"/>
      <c r="AB80"/>
      <c r="AC80"/>
      <c r="AD80"/>
      <c r="AE80"/>
      <c r="AF80"/>
      <c r="AG80"/>
      <c r="AH80"/>
      <c r="AI80"/>
      <c r="AJ80"/>
      <c r="AK80"/>
      <c r="AL80"/>
    </row>
    <row r="81" spans="13:38">
      <c r="M81"/>
      <c r="N81"/>
      <c r="O81"/>
      <c r="P81"/>
      <c r="Q81"/>
      <c r="R81"/>
      <c r="S81"/>
      <c r="T81"/>
      <c r="U81"/>
      <c r="V81"/>
      <c r="W81"/>
      <c r="X81"/>
      <c r="Y81"/>
      <c r="Z81"/>
      <c r="AA81"/>
      <c r="AB81"/>
      <c r="AC81"/>
      <c r="AD81"/>
      <c r="AE81"/>
      <c r="AF81"/>
      <c r="AG81"/>
      <c r="AH81"/>
      <c r="AI81"/>
      <c r="AJ81"/>
      <c r="AK81"/>
      <c r="AL81"/>
    </row>
    <row r="82" spans="13:38">
      <c r="M82"/>
      <c r="N82"/>
      <c r="O82"/>
      <c r="P82"/>
      <c r="Q82"/>
      <c r="R82"/>
      <c r="S82"/>
      <c r="T82"/>
      <c r="U82"/>
      <c r="V82"/>
      <c r="W82"/>
      <c r="X82"/>
      <c r="Y82"/>
      <c r="Z82"/>
      <c r="AA82"/>
      <c r="AB82"/>
      <c r="AC82"/>
      <c r="AD82"/>
      <c r="AE82"/>
      <c r="AF82"/>
      <c r="AG82"/>
      <c r="AH82"/>
      <c r="AI82"/>
      <c r="AJ82"/>
      <c r="AK82"/>
      <c r="AL82"/>
    </row>
    <row r="83" spans="13:38">
      <c r="M83"/>
      <c r="N83"/>
      <c r="O83"/>
      <c r="P83"/>
      <c r="Q83"/>
      <c r="R83"/>
      <c r="S83"/>
      <c r="T83"/>
      <c r="U83"/>
      <c r="V83"/>
      <c r="W83"/>
      <c r="X83"/>
      <c r="Y83"/>
      <c r="Z83"/>
      <c r="AA83"/>
      <c r="AB83"/>
      <c r="AC83"/>
      <c r="AD83"/>
      <c r="AE83"/>
      <c r="AF83"/>
      <c r="AG83"/>
      <c r="AH83"/>
      <c r="AI83"/>
      <c r="AJ83"/>
      <c r="AK83"/>
      <c r="AL83"/>
    </row>
    <row r="84" spans="13:38">
      <c r="M84"/>
      <c r="N84"/>
      <c r="O84"/>
      <c r="P84"/>
      <c r="Q84"/>
      <c r="R84"/>
      <c r="S84"/>
      <c r="T84"/>
      <c r="U84"/>
      <c r="V84"/>
      <c r="W84"/>
      <c r="X84"/>
      <c r="Y84"/>
      <c r="Z84"/>
      <c r="AA84"/>
      <c r="AB84"/>
      <c r="AC84"/>
      <c r="AD84"/>
      <c r="AE84"/>
      <c r="AF84"/>
      <c r="AG84"/>
      <c r="AH84"/>
      <c r="AI84"/>
      <c r="AJ84"/>
      <c r="AK84"/>
      <c r="AL84"/>
    </row>
    <row r="85" spans="13:38">
      <c r="M85"/>
      <c r="N85"/>
      <c r="O85"/>
      <c r="P85"/>
      <c r="Q85"/>
      <c r="R85"/>
      <c r="S85"/>
      <c r="T85"/>
      <c r="U85"/>
      <c r="V85"/>
      <c r="W85"/>
      <c r="X85"/>
      <c r="Y85"/>
      <c r="Z85"/>
      <c r="AA85"/>
      <c r="AB85"/>
      <c r="AC85"/>
      <c r="AD85"/>
      <c r="AE85"/>
      <c r="AF85"/>
      <c r="AG85"/>
      <c r="AH85"/>
      <c r="AI85"/>
      <c r="AJ85"/>
      <c r="AK85"/>
      <c r="AL85"/>
    </row>
    <row r="86" spans="13:38">
      <c r="M86"/>
      <c r="N86"/>
      <c r="O86"/>
      <c r="P86"/>
      <c r="Q86"/>
      <c r="R86"/>
      <c r="S86"/>
      <c r="T86"/>
      <c r="U86"/>
      <c r="V86"/>
      <c r="W86"/>
      <c r="X86"/>
      <c r="Y86"/>
      <c r="Z86"/>
      <c r="AA86"/>
      <c r="AB86"/>
      <c r="AC86"/>
      <c r="AD86"/>
      <c r="AE86"/>
      <c r="AF86"/>
      <c r="AG86"/>
      <c r="AH86"/>
      <c r="AI86"/>
      <c r="AJ86"/>
      <c r="AK86"/>
      <c r="AL86"/>
    </row>
    <row r="87" spans="13:38">
      <c r="M87"/>
      <c r="N87"/>
      <c r="O87"/>
      <c r="P87"/>
      <c r="Q87"/>
      <c r="R87"/>
      <c r="S87"/>
      <c r="T87"/>
      <c r="U87"/>
      <c r="V87"/>
      <c r="W87"/>
      <c r="X87"/>
      <c r="Y87"/>
      <c r="Z87"/>
      <c r="AA87"/>
      <c r="AB87"/>
      <c r="AC87"/>
      <c r="AD87"/>
      <c r="AE87"/>
      <c r="AF87"/>
      <c r="AG87"/>
      <c r="AH87"/>
      <c r="AI87"/>
      <c r="AJ87"/>
      <c r="AK87"/>
      <c r="AL87"/>
    </row>
    <row r="88" spans="13:38">
      <c r="M88"/>
      <c r="N88"/>
      <c r="O88"/>
      <c r="P88"/>
      <c r="Q88"/>
      <c r="R88"/>
      <c r="S88"/>
      <c r="T88"/>
      <c r="U88"/>
      <c r="V88"/>
      <c r="W88"/>
      <c r="X88"/>
      <c r="Y88"/>
      <c r="Z88"/>
      <c r="AA88"/>
      <c r="AB88"/>
      <c r="AC88"/>
      <c r="AD88"/>
      <c r="AE88"/>
      <c r="AF88"/>
      <c r="AG88"/>
      <c r="AH88"/>
      <c r="AI88"/>
      <c r="AJ88"/>
      <c r="AK88"/>
      <c r="AL88"/>
    </row>
    <row r="89" spans="13:38">
      <c r="M89"/>
      <c r="N89"/>
      <c r="O89"/>
      <c r="P89"/>
      <c r="Q89"/>
      <c r="R89"/>
      <c r="S89"/>
      <c r="T89"/>
      <c r="U89"/>
      <c r="V89"/>
      <c r="W89"/>
      <c r="X89"/>
      <c r="Y89"/>
      <c r="Z89"/>
      <c r="AA89"/>
      <c r="AB89"/>
      <c r="AC89"/>
      <c r="AD89"/>
      <c r="AE89"/>
      <c r="AF89"/>
      <c r="AG89"/>
      <c r="AH89"/>
      <c r="AI89"/>
      <c r="AJ89"/>
      <c r="AK89"/>
      <c r="AL89"/>
    </row>
    <row r="90" spans="13:38">
      <c r="M90"/>
      <c r="N90"/>
      <c r="O90"/>
      <c r="P90"/>
      <c r="Q90"/>
      <c r="R90"/>
      <c r="S90"/>
      <c r="T90"/>
      <c r="U90"/>
      <c r="V90"/>
      <c r="W90"/>
      <c r="X90"/>
      <c r="Y90"/>
      <c r="Z90"/>
      <c r="AA90"/>
      <c r="AB90"/>
      <c r="AC90"/>
      <c r="AD90"/>
      <c r="AE90"/>
      <c r="AF90"/>
      <c r="AG90"/>
      <c r="AH90"/>
      <c r="AI90"/>
      <c r="AJ90"/>
      <c r="AK90"/>
      <c r="AL90"/>
    </row>
    <row r="91" spans="13:38">
      <c r="M91"/>
      <c r="N91"/>
      <c r="O91"/>
      <c r="P91"/>
      <c r="Q91"/>
      <c r="R91"/>
      <c r="S91"/>
      <c r="T91"/>
      <c r="U91"/>
      <c r="V91"/>
      <c r="W91"/>
      <c r="X91"/>
      <c r="Y91"/>
      <c r="Z91"/>
      <c r="AA91"/>
      <c r="AB91"/>
      <c r="AC91"/>
      <c r="AD91"/>
      <c r="AE91"/>
      <c r="AF91"/>
      <c r="AG91"/>
      <c r="AH91"/>
      <c r="AI91"/>
      <c r="AJ91"/>
      <c r="AK91"/>
      <c r="AL91"/>
    </row>
    <row r="92" spans="13:38">
      <c r="M92"/>
      <c r="N92"/>
      <c r="O92"/>
      <c r="P92"/>
      <c r="Q92"/>
      <c r="R92"/>
      <c r="S92"/>
      <c r="T92"/>
      <c r="U92"/>
      <c r="V92"/>
      <c r="W92"/>
      <c r="X92"/>
      <c r="Y92"/>
      <c r="Z92"/>
      <c r="AA92"/>
      <c r="AB92"/>
      <c r="AC92"/>
      <c r="AD92"/>
      <c r="AE92"/>
      <c r="AF92"/>
      <c r="AG92"/>
      <c r="AH92"/>
      <c r="AI92"/>
      <c r="AJ92"/>
      <c r="AK92"/>
      <c r="AL92"/>
    </row>
    <row r="93" spans="13:38">
      <c r="M93"/>
      <c r="N93"/>
      <c r="O93"/>
      <c r="P93"/>
      <c r="Q93"/>
      <c r="R93"/>
      <c r="S93"/>
      <c r="T93"/>
      <c r="U93"/>
      <c r="V93"/>
      <c r="W93"/>
      <c r="X93"/>
      <c r="Y93"/>
      <c r="Z93"/>
      <c r="AA93"/>
      <c r="AB93"/>
      <c r="AC93"/>
      <c r="AD93"/>
      <c r="AE93"/>
      <c r="AF93"/>
      <c r="AG93"/>
      <c r="AH93"/>
      <c r="AI93"/>
      <c r="AJ93"/>
      <c r="AK93"/>
      <c r="AL93"/>
    </row>
    <row r="94" spans="13:38">
      <c r="M94"/>
      <c r="N94"/>
      <c r="O94"/>
      <c r="P94"/>
      <c r="Q94"/>
      <c r="R94"/>
      <c r="S94"/>
      <c r="T94"/>
      <c r="U94"/>
      <c r="V94"/>
      <c r="W94"/>
      <c r="X94"/>
      <c r="Y94"/>
      <c r="Z94"/>
      <c r="AA94"/>
      <c r="AB94"/>
      <c r="AC94"/>
      <c r="AD94"/>
      <c r="AE94"/>
      <c r="AF94"/>
      <c r="AG94"/>
      <c r="AH94"/>
      <c r="AI94"/>
      <c r="AJ94"/>
      <c r="AK94"/>
      <c r="AL94"/>
    </row>
    <row r="95" spans="13:38">
      <c r="M95"/>
      <c r="N95"/>
      <c r="O95"/>
      <c r="P95"/>
      <c r="Q95"/>
      <c r="R95"/>
      <c r="S95"/>
      <c r="T95"/>
      <c r="U95"/>
      <c r="V95"/>
      <c r="W95"/>
      <c r="X95"/>
      <c r="Y95"/>
      <c r="Z95"/>
      <c r="AA95"/>
      <c r="AB95"/>
      <c r="AC95"/>
      <c r="AD95"/>
      <c r="AE95"/>
      <c r="AF95"/>
      <c r="AG95"/>
      <c r="AH95"/>
      <c r="AI95"/>
      <c r="AJ95"/>
      <c r="AK95"/>
      <c r="AL95"/>
    </row>
    <row r="96" spans="13:38">
      <c r="M96"/>
      <c r="N96"/>
      <c r="O96"/>
      <c r="P96"/>
      <c r="Q96"/>
      <c r="R96"/>
      <c r="S96"/>
      <c r="T96"/>
      <c r="U96"/>
      <c r="V96"/>
      <c r="W96"/>
      <c r="X96"/>
      <c r="Y96"/>
      <c r="Z96"/>
      <c r="AA96"/>
      <c r="AB96"/>
      <c r="AC96"/>
      <c r="AD96"/>
      <c r="AE96"/>
      <c r="AF96"/>
      <c r="AG96"/>
      <c r="AH96"/>
      <c r="AI96"/>
      <c r="AJ96"/>
      <c r="AK96"/>
      <c r="AL96"/>
    </row>
    <row r="97" spans="13:38">
      <c r="M97"/>
      <c r="N97"/>
      <c r="O97"/>
      <c r="P97"/>
      <c r="Q97"/>
      <c r="R97"/>
      <c r="S97"/>
      <c r="T97"/>
      <c r="U97"/>
      <c r="V97"/>
      <c r="W97"/>
      <c r="X97"/>
      <c r="Y97"/>
      <c r="Z97"/>
      <c r="AA97"/>
      <c r="AB97"/>
      <c r="AC97"/>
      <c r="AD97"/>
      <c r="AE97"/>
      <c r="AF97"/>
      <c r="AG97"/>
      <c r="AH97"/>
      <c r="AI97"/>
      <c r="AJ97"/>
      <c r="AK97"/>
      <c r="AL97"/>
    </row>
    <row r="98" spans="13:38">
      <c r="M98"/>
      <c r="N98"/>
      <c r="O98"/>
      <c r="P98"/>
      <c r="Q98"/>
      <c r="R98"/>
      <c r="S98"/>
      <c r="T98"/>
      <c r="U98"/>
      <c r="V98"/>
      <c r="W98"/>
      <c r="X98"/>
      <c r="Y98"/>
      <c r="Z98"/>
      <c r="AA98"/>
      <c r="AB98"/>
      <c r="AC98"/>
      <c r="AD98"/>
      <c r="AE98"/>
      <c r="AF98"/>
      <c r="AG98"/>
      <c r="AH98"/>
      <c r="AI98"/>
      <c r="AJ98"/>
      <c r="AK98"/>
      <c r="AL98"/>
    </row>
    <row r="99" spans="13:38">
      <c r="M99"/>
      <c r="N99"/>
      <c r="O99"/>
      <c r="P99"/>
      <c r="Q99"/>
      <c r="R99"/>
      <c r="S99"/>
      <c r="T99"/>
      <c r="U99"/>
      <c r="V99"/>
      <c r="W99"/>
      <c r="X99"/>
      <c r="Y99"/>
      <c r="Z99"/>
      <c r="AA99"/>
      <c r="AB99"/>
      <c r="AC99"/>
      <c r="AD99"/>
      <c r="AE99"/>
      <c r="AF99"/>
      <c r="AG99"/>
      <c r="AH99"/>
      <c r="AI99"/>
      <c r="AJ99"/>
      <c r="AK99"/>
      <c r="AL99"/>
    </row>
    <row r="100" spans="13:38">
      <c r="M100"/>
      <c r="N100"/>
      <c r="O100"/>
      <c r="P100"/>
      <c r="Q100"/>
      <c r="R100"/>
      <c r="S100"/>
      <c r="T100"/>
      <c r="U100"/>
      <c r="V100"/>
      <c r="W100"/>
      <c r="X100"/>
      <c r="Y100"/>
      <c r="Z100"/>
      <c r="AA100"/>
      <c r="AB100"/>
      <c r="AC100"/>
      <c r="AD100"/>
      <c r="AE100"/>
      <c r="AF100"/>
      <c r="AG100"/>
      <c r="AH100"/>
      <c r="AI100"/>
      <c r="AJ100"/>
      <c r="AK100"/>
      <c r="AL100"/>
    </row>
    <row r="101" spans="13:38">
      <c r="M101"/>
      <c r="N101"/>
      <c r="O101"/>
      <c r="P101"/>
      <c r="Q101"/>
      <c r="R101"/>
      <c r="S101"/>
      <c r="T101"/>
      <c r="U101"/>
      <c r="V101"/>
      <c r="W101"/>
      <c r="X101"/>
      <c r="Y101"/>
      <c r="Z101"/>
      <c r="AA101"/>
      <c r="AB101"/>
      <c r="AC101"/>
      <c r="AD101"/>
      <c r="AE101"/>
      <c r="AF101"/>
      <c r="AG101"/>
      <c r="AH101"/>
      <c r="AI101"/>
      <c r="AJ101"/>
      <c r="AK101"/>
      <c r="AL101"/>
    </row>
    <row r="102" spans="13:38">
      <c r="M102"/>
      <c r="N102"/>
      <c r="O102"/>
      <c r="P102"/>
      <c r="Q102"/>
      <c r="R102"/>
      <c r="S102"/>
      <c r="T102"/>
      <c r="U102"/>
      <c r="V102"/>
      <c r="W102"/>
      <c r="X102"/>
      <c r="Y102"/>
      <c r="Z102"/>
      <c r="AA102"/>
      <c r="AB102"/>
      <c r="AC102"/>
      <c r="AD102"/>
      <c r="AE102"/>
      <c r="AF102"/>
      <c r="AG102"/>
      <c r="AH102"/>
      <c r="AI102"/>
      <c r="AJ102"/>
      <c r="AK102"/>
      <c r="AL102"/>
    </row>
    <row r="103" spans="13:38">
      <c r="M103"/>
      <c r="N103"/>
      <c r="O103"/>
      <c r="P103"/>
      <c r="Q103"/>
      <c r="R103"/>
      <c r="S103"/>
      <c r="T103"/>
      <c r="U103"/>
      <c r="V103"/>
      <c r="W103"/>
      <c r="X103"/>
      <c r="Y103"/>
      <c r="Z103"/>
      <c r="AA103"/>
      <c r="AB103"/>
      <c r="AC103"/>
      <c r="AD103"/>
      <c r="AE103"/>
      <c r="AF103"/>
      <c r="AG103"/>
      <c r="AH103"/>
      <c r="AI103"/>
      <c r="AJ103"/>
      <c r="AK103"/>
      <c r="AL103"/>
    </row>
    <row r="104" spans="13:38">
      <c r="M104"/>
      <c r="N104"/>
      <c r="O104"/>
      <c r="P104"/>
      <c r="Q104"/>
      <c r="R104"/>
      <c r="S104"/>
      <c r="T104"/>
      <c r="U104"/>
      <c r="V104"/>
      <c r="W104"/>
      <c r="X104"/>
      <c r="Y104"/>
      <c r="Z104"/>
      <c r="AA104"/>
      <c r="AB104"/>
      <c r="AC104"/>
      <c r="AD104"/>
      <c r="AE104"/>
      <c r="AF104"/>
      <c r="AG104"/>
      <c r="AH104"/>
      <c r="AI104"/>
      <c r="AJ104"/>
      <c r="AK104"/>
      <c r="AL104"/>
    </row>
    <row r="105" spans="13:38">
      <c r="M105"/>
      <c r="N105"/>
      <c r="O105"/>
      <c r="P105"/>
      <c r="Q105"/>
      <c r="R105"/>
      <c r="S105"/>
      <c r="T105"/>
      <c r="U105"/>
      <c r="V105"/>
      <c r="W105"/>
      <c r="X105"/>
      <c r="Y105"/>
      <c r="Z105"/>
      <c r="AA105"/>
      <c r="AB105"/>
      <c r="AC105"/>
      <c r="AD105"/>
      <c r="AE105"/>
      <c r="AF105"/>
      <c r="AG105"/>
      <c r="AH105"/>
      <c r="AI105"/>
      <c r="AJ105"/>
      <c r="AK105"/>
      <c r="AL105"/>
    </row>
    <row r="106" spans="13:38">
      <c r="M106"/>
      <c r="N106"/>
      <c r="O106"/>
      <c r="P106"/>
      <c r="Q106"/>
      <c r="R106"/>
      <c r="S106"/>
      <c r="T106"/>
      <c r="U106"/>
      <c r="V106"/>
      <c r="W106"/>
      <c r="X106"/>
      <c r="Y106"/>
      <c r="Z106"/>
      <c r="AA106"/>
      <c r="AB106"/>
      <c r="AC106"/>
      <c r="AD106"/>
      <c r="AE106"/>
      <c r="AF106"/>
      <c r="AG106"/>
      <c r="AH106"/>
      <c r="AI106"/>
      <c r="AJ106"/>
      <c r="AK106"/>
      <c r="AL106"/>
    </row>
    <row r="107" spans="13:38">
      <c r="M107"/>
      <c r="N107"/>
      <c r="O107"/>
      <c r="P107"/>
      <c r="Q107"/>
      <c r="R107"/>
      <c r="S107"/>
      <c r="T107"/>
      <c r="U107"/>
      <c r="V107"/>
      <c r="W107"/>
      <c r="X107"/>
      <c r="Y107"/>
      <c r="Z107"/>
      <c r="AA107"/>
      <c r="AB107"/>
      <c r="AC107"/>
      <c r="AD107"/>
      <c r="AE107"/>
      <c r="AF107"/>
      <c r="AG107"/>
      <c r="AH107"/>
      <c r="AI107"/>
      <c r="AJ107"/>
      <c r="AK107"/>
      <c r="AL107"/>
    </row>
    <row r="108" spans="13:38">
      <c r="M108"/>
      <c r="N108"/>
      <c r="O108"/>
      <c r="P108"/>
      <c r="Q108"/>
      <c r="R108"/>
      <c r="S108"/>
      <c r="T108"/>
      <c r="U108"/>
      <c r="V108"/>
      <c r="W108"/>
      <c r="X108"/>
      <c r="Y108"/>
      <c r="Z108"/>
      <c r="AA108"/>
      <c r="AB108"/>
      <c r="AC108"/>
      <c r="AD108"/>
      <c r="AE108"/>
      <c r="AF108"/>
      <c r="AG108"/>
      <c r="AH108"/>
      <c r="AI108"/>
      <c r="AJ108"/>
      <c r="AK108"/>
      <c r="AL108"/>
    </row>
    <row r="109" spans="13:38">
      <c r="M109"/>
      <c r="N109"/>
      <c r="O109"/>
      <c r="P109"/>
      <c r="Q109"/>
      <c r="R109"/>
      <c r="S109"/>
      <c r="T109"/>
      <c r="U109"/>
      <c r="V109"/>
      <c r="W109"/>
      <c r="X109"/>
      <c r="Y109"/>
      <c r="Z109"/>
      <c r="AA109"/>
      <c r="AB109"/>
      <c r="AC109"/>
      <c r="AD109"/>
      <c r="AE109"/>
      <c r="AF109"/>
      <c r="AG109"/>
      <c r="AH109"/>
      <c r="AI109"/>
      <c r="AJ109"/>
      <c r="AK109"/>
      <c r="AL109"/>
    </row>
    <row r="110" spans="13:38">
      <c r="M110"/>
      <c r="N110"/>
      <c r="O110"/>
      <c r="P110"/>
      <c r="Q110"/>
      <c r="R110"/>
      <c r="S110"/>
      <c r="T110"/>
      <c r="U110"/>
      <c r="V110"/>
      <c r="W110"/>
      <c r="X110"/>
      <c r="Y110"/>
      <c r="Z110"/>
      <c r="AA110"/>
      <c r="AB110"/>
      <c r="AC110"/>
      <c r="AD110"/>
      <c r="AE110"/>
      <c r="AF110"/>
      <c r="AG110"/>
      <c r="AH110"/>
      <c r="AI110"/>
      <c r="AJ110"/>
      <c r="AK110"/>
      <c r="AL110"/>
    </row>
    <row r="111" spans="13:38">
      <c r="M111"/>
      <c r="N111"/>
      <c r="O111"/>
      <c r="P111"/>
      <c r="Q111"/>
      <c r="R111"/>
      <c r="S111"/>
      <c r="T111"/>
      <c r="U111"/>
      <c r="V111"/>
      <c r="W111"/>
      <c r="X111"/>
      <c r="Y111"/>
      <c r="Z111"/>
      <c r="AA111"/>
      <c r="AB111"/>
      <c r="AC111"/>
      <c r="AD111"/>
      <c r="AE111"/>
      <c r="AF111"/>
      <c r="AG111"/>
      <c r="AH111"/>
      <c r="AI111"/>
      <c r="AJ111"/>
      <c r="AK111"/>
      <c r="AL111"/>
    </row>
    <row r="112" spans="13:38">
      <c r="M112"/>
      <c r="N112"/>
      <c r="O112"/>
      <c r="P112"/>
      <c r="Q112"/>
      <c r="R112"/>
      <c r="S112"/>
      <c r="T112"/>
      <c r="U112"/>
      <c r="V112"/>
      <c r="W112"/>
      <c r="X112"/>
      <c r="Y112"/>
      <c r="Z112"/>
      <c r="AA112"/>
      <c r="AB112"/>
      <c r="AC112"/>
      <c r="AD112"/>
      <c r="AE112"/>
      <c r="AF112"/>
      <c r="AG112"/>
      <c r="AH112"/>
      <c r="AI112"/>
      <c r="AJ112"/>
      <c r="AK112"/>
      <c r="AL112"/>
    </row>
    <row r="113" spans="13:38">
      <c r="M113"/>
      <c r="N113"/>
      <c r="O113"/>
      <c r="P113"/>
      <c r="Q113"/>
      <c r="R113"/>
      <c r="S113"/>
      <c r="T113"/>
      <c r="U113"/>
      <c r="V113"/>
      <c r="W113"/>
      <c r="X113"/>
      <c r="Y113"/>
      <c r="Z113"/>
      <c r="AA113"/>
      <c r="AB113"/>
      <c r="AC113"/>
      <c r="AD113"/>
      <c r="AE113"/>
      <c r="AF113"/>
      <c r="AG113"/>
      <c r="AH113"/>
      <c r="AI113"/>
      <c r="AJ113"/>
      <c r="AK113"/>
      <c r="AL113"/>
    </row>
    <row r="114" spans="13:38">
      <c r="M114"/>
      <c r="N114"/>
      <c r="O114"/>
      <c r="P114"/>
      <c r="Q114"/>
      <c r="R114"/>
      <c r="S114"/>
      <c r="T114"/>
      <c r="U114"/>
      <c r="V114"/>
      <c r="W114"/>
      <c r="X114"/>
      <c r="Y114"/>
      <c r="Z114"/>
      <c r="AA114"/>
      <c r="AB114"/>
      <c r="AC114"/>
      <c r="AD114"/>
      <c r="AE114"/>
      <c r="AF114"/>
      <c r="AG114"/>
      <c r="AH114"/>
      <c r="AI114"/>
      <c r="AJ114"/>
      <c r="AK114"/>
      <c r="AL114"/>
    </row>
    <row r="115" spans="13:38">
      <c r="M115"/>
      <c r="N115"/>
      <c r="O115"/>
      <c r="P115"/>
      <c r="Q115"/>
      <c r="R115"/>
      <c r="S115"/>
      <c r="T115"/>
      <c r="U115"/>
      <c r="V115"/>
      <c r="W115"/>
      <c r="X115"/>
      <c r="Y115"/>
      <c r="Z115"/>
      <c r="AA115"/>
      <c r="AB115"/>
      <c r="AC115"/>
      <c r="AD115"/>
      <c r="AE115"/>
      <c r="AF115"/>
      <c r="AG115"/>
      <c r="AH115"/>
      <c r="AI115"/>
      <c r="AJ115"/>
      <c r="AK115"/>
      <c r="AL115"/>
    </row>
    <row r="116" spans="13:38">
      <c r="M116"/>
      <c r="N116"/>
      <c r="O116"/>
      <c r="P116"/>
      <c r="Q116"/>
      <c r="R116"/>
      <c r="S116"/>
      <c r="T116"/>
      <c r="U116"/>
      <c r="V116"/>
      <c r="W116"/>
      <c r="X116"/>
      <c r="Y116"/>
      <c r="Z116"/>
      <c r="AA116"/>
      <c r="AB116"/>
      <c r="AC116"/>
      <c r="AD116"/>
      <c r="AE116"/>
      <c r="AF116"/>
      <c r="AG116"/>
      <c r="AH116"/>
      <c r="AI116"/>
      <c r="AJ116"/>
      <c r="AK116"/>
      <c r="AL116"/>
    </row>
    <row r="117" spans="13:38">
      <c r="M117"/>
      <c r="N117"/>
      <c r="O117"/>
      <c r="P117"/>
      <c r="Q117"/>
      <c r="R117"/>
      <c r="S117"/>
      <c r="T117"/>
      <c r="U117"/>
      <c r="V117"/>
      <c r="W117"/>
      <c r="X117"/>
      <c r="Y117"/>
      <c r="Z117"/>
      <c r="AA117"/>
      <c r="AB117"/>
      <c r="AC117"/>
      <c r="AD117"/>
      <c r="AE117"/>
      <c r="AF117"/>
      <c r="AG117"/>
      <c r="AH117"/>
      <c r="AI117"/>
      <c r="AJ117"/>
      <c r="AK117"/>
      <c r="AL117"/>
    </row>
    <row r="118" spans="13:38">
      <c r="M118"/>
      <c r="N118"/>
      <c r="O118"/>
      <c r="P118"/>
      <c r="Q118"/>
      <c r="R118"/>
      <c r="S118"/>
      <c r="T118"/>
      <c r="U118"/>
      <c r="V118"/>
      <c r="W118"/>
      <c r="X118"/>
      <c r="Y118"/>
      <c r="Z118"/>
      <c r="AA118"/>
      <c r="AB118"/>
      <c r="AC118"/>
      <c r="AD118"/>
      <c r="AE118"/>
      <c r="AF118"/>
      <c r="AG118"/>
      <c r="AH118"/>
      <c r="AI118"/>
      <c r="AJ118"/>
      <c r="AK118"/>
      <c r="AL118"/>
    </row>
    <row r="119" spans="13:38">
      <c r="M119"/>
      <c r="N119"/>
      <c r="O119"/>
      <c r="P119"/>
      <c r="Q119"/>
      <c r="R119"/>
      <c r="S119"/>
      <c r="T119"/>
      <c r="U119"/>
      <c r="V119"/>
      <c r="W119"/>
      <c r="X119"/>
      <c r="Y119"/>
      <c r="Z119"/>
      <c r="AA119"/>
      <c r="AB119"/>
      <c r="AC119"/>
      <c r="AD119"/>
      <c r="AE119"/>
      <c r="AF119"/>
      <c r="AG119"/>
      <c r="AH119"/>
      <c r="AI119"/>
      <c r="AJ119"/>
      <c r="AK119"/>
      <c r="AL119"/>
    </row>
    <row r="120" spans="13:38">
      <c r="M120"/>
      <c r="N120"/>
      <c r="O120"/>
      <c r="P120"/>
      <c r="Q120"/>
      <c r="R120"/>
      <c r="S120"/>
      <c r="T120"/>
      <c r="U120"/>
      <c r="V120"/>
      <c r="W120"/>
      <c r="X120"/>
      <c r="Y120"/>
      <c r="Z120"/>
      <c r="AA120"/>
      <c r="AB120"/>
      <c r="AC120"/>
      <c r="AD120"/>
      <c r="AE120"/>
      <c r="AF120"/>
      <c r="AG120"/>
      <c r="AH120"/>
      <c r="AI120"/>
      <c r="AJ120"/>
      <c r="AK120"/>
      <c r="AL120"/>
    </row>
    <row r="121" spans="13:38">
      <c r="M121"/>
      <c r="N121"/>
      <c r="O121"/>
      <c r="P121"/>
      <c r="Q121"/>
      <c r="R121"/>
      <c r="S121"/>
      <c r="T121"/>
      <c r="U121"/>
      <c r="V121"/>
      <c r="W121"/>
      <c r="X121"/>
      <c r="Y121"/>
      <c r="Z121"/>
      <c r="AA121"/>
      <c r="AB121"/>
      <c r="AC121"/>
      <c r="AD121"/>
      <c r="AE121"/>
      <c r="AF121"/>
      <c r="AG121"/>
      <c r="AH121"/>
      <c r="AI121"/>
      <c r="AJ121"/>
      <c r="AK121"/>
      <c r="AL121"/>
    </row>
    <row r="122" spans="13:38">
      <c r="M122"/>
      <c r="N122"/>
      <c r="O122"/>
      <c r="P122"/>
      <c r="Q122"/>
      <c r="R122"/>
      <c r="S122"/>
      <c r="T122"/>
      <c r="U122"/>
      <c r="V122"/>
      <c r="W122"/>
      <c r="X122"/>
      <c r="Y122"/>
      <c r="Z122"/>
      <c r="AA122"/>
      <c r="AB122"/>
      <c r="AC122"/>
      <c r="AD122"/>
      <c r="AE122"/>
      <c r="AF122"/>
      <c r="AG122"/>
      <c r="AH122"/>
      <c r="AI122"/>
      <c r="AJ122"/>
      <c r="AK122"/>
      <c r="AL122"/>
    </row>
    <row r="123" spans="13:38">
      <c r="M123"/>
      <c r="N123"/>
      <c r="O123"/>
      <c r="P123"/>
      <c r="Q123"/>
      <c r="R123"/>
      <c r="S123"/>
      <c r="T123"/>
      <c r="U123"/>
      <c r="V123"/>
      <c r="W123"/>
      <c r="X123"/>
      <c r="Y123"/>
      <c r="Z123"/>
      <c r="AA123"/>
      <c r="AB123"/>
      <c r="AC123"/>
      <c r="AD123"/>
      <c r="AE123"/>
      <c r="AF123"/>
      <c r="AG123"/>
      <c r="AH123"/>
      <c r="AI123"/>
      <c r="AJ123"/>
      <c r="AK123"/>
      <c r="AL123"/>
    </row>
    <row r="124" spans="13:38">
      <c r="M124"/>
      <c r="N124"/>
      <c r="O124"/>
      <c r="P124"/>
      <c r="Q124"/>
      <c r="R124"/>
      <c r="S124"/>
      <c r="T124"/>
      <c r="U124"/>
      <c r="V124"/>
      <c r="W124"/>
      <c r="X124"/>
      <c r="Y124"/>
      <c r="Z124"/>
      <c r="AA124"/>
      <c r="AB124"/>
      <c r="AC124"/>
      <c r="AD124"/>
      <c r="AE124"/>
      <c r="AF124"/>
      <c r="AG124"/>
      <c r="AH124"/>
      <c r="AI124"/>
      <c r="AJ124"/>
      <c r="AK124"/>
      <c r="AL124"/>
    </row>
    <row r="125" spans="13:38">
      <c r="M125"/>
      <c r="N125"/>
      <c r="O125"/>
      <c r="P125"/>
      <c r="Q125"/>
      <c r="R125"/>
      <c r="S125"/>
      <c r="T125"/>
      <c r="U125"/>
      <c r="V125"/>
      <c r="W125"/>
      <c r="X125"/>
      <c r="Y125"/>
      <c r="Z125"/>
      <c r="AA125"/>
      <c r="AB125"/>
      <c r="AC125"/>
      <c r="AD125"/>
      <c r="AE125"/>
      <c r="AF125"/>
      <c r="AG125"/>
      <c r="AH125"/>
      <c r="AI125"/>
      <c r="AJ125"/>
      <c r="AK125"/>
      <c r="AL125"/>
    </row>
    <row r="126" spans="13:38">
      <c r="M126"/>
      <c r="N126"/>
      <c r="O126"/>
      <c r="P126"/>
      <c r="Q126"/>
      <c r="R126"/>
      <c r="S126"/>
      <c r="T126"/>
      <c r="U126"/>
      <c r="V126"/>
      <c r="W126"/>
      <c r="X126"/>
      <c r="Y126"/>
      <c r="Z126"/>
      <c r="AA126"/>
      <c r="AB126"/>
      <c r="AC126"/>
      <c r="AD126"/>
      <c r="AE126"/>
      <c r="AF126"/>
      <c r="AG126"/>
      <c r="AH126"/>
      <c r="AI126"/>
      <c r="AJ126"/>
      <c r="AK126"/>
      <c r="AL126"/>
    </row>
    <row r="127" spans="13:38">
      <c r="M127"/>
      <c r="N127"/>
      <c r="O127"/>
      <c r="P127"/>
      <c r="Q127"/>
      <c r="R127"/>
      <c r="S127"/>
      <c r="T127"/>
      <c r="U127"/>
      <c r="V127"/>
      <c r="W127"/>
      <c r="X127"/>
      <c r="Y127"/>
      <c r="Z127"/>
      <c r="AA127"/>
      <c r="AB127"/>
      <c r="AC127"/>
      <c r="AD127"/>
      <c r="AE127"/>
      <c r="AF127"/>
      <c r="AG127"/>
      <c r="AH127"/>
      <c r="AI127"/>
      <c r="AJ127"/>
      <c r="AK127"/>
      <c r="AL127"/>
    </row>
    <row r="128" spans="13:38">
      <c r="M128"/>
      <c r="N128"/>
      <c r="O128"/>
      <c r="P128"/>
      <c r="Q128"/>
      <c r="R128"/>
      <c r="S128"/>
      <c r="T128"/>
      <c r="U128"/>
      <c r="V128"/>
      <c r="W128"/>
      <c r="X128"/>
      <c r="Y128"/>
      <c r="Z128"/>
      <c r="AA128"/>
      <c r="AB128"/>
      <c r="AC128"/>
      <c r="AD128"/>
      <c r="AE128"/>
      <c r="AF128"/>
      <c r="AG128"/>
      <c r="AH128"/>
      <c r="AI128"/>
      <c r="AJ128"/>
      <c r="AK128"/>
      <c r="AL128"/>
    </row>
    <row r="129" spans="13:38">
      <c r="M129"/>
      <c r="N129"/>
      <c r="O129"/>
      <c r="P129"/>
      <c r="Q129"/>
      <c r="R129"/>
      <c r="S129"/>
      <c r="T129"/>
      <c r="U129"/>
      <c r="V129"/>
      <c r="W129"/>
      <c r="X129"/>
      <c r="Y129"/>
      <c r="Z129"/>
      <c r="AA129"/>
      <c r="AB129"/>
      <c r="AC129"/>
      <c r="AD129"/>
      <c r="AE129"/>
      <c r="AF129"/>
      <c r="AG129"/>
      <c r="AH129"/>
      <c r="AI129"/>
      <c r="AJ129"/>
      <c r="AK129"/>
      <c r="AL129"/>
    </row>
    <row r="130" spans="13:38">
      <c r="M130"/>
      <c r="N130"/>
      <c r="O130"/>
      <c r="P130"/>
      <c r="Q130"/>
      <c r="R130"/>
      <c r="S130"/>
      <c r="T130"/>
      <c r="U130"/>
      <c r="V130"/>
      <c r="W130"/>
      <c r="X130"/>
      <c r="Y130"/>
      <c r="Z130"/>
      <c r="AA130"/>
      <c r="AB130"/>
      <c r="AC130"/>
      <c r="AD130"/>
      <c r="AE130"/>
      <c r="AF130"/>
      <c r="AG130"/>
      <c r="AH130"/>
      <c r="AI130"/>
      <c r="AJ130"/>
      <c r="AK130"/>
      <c r="AL130"/>
    </row>
    <row r="131" spans="13:38">
      <c r="M131"/>
      <c r="N131"/>
      <c r="O131"/>
      <c r="P131"/>
      <c r="Q131"/>
      <c r="R131"/>
      <c r="S131"/>
      <c r="T131"/>
      <c r="U131"/>
      <c r="V131"/>
      <c r="W131"/>
      <c r="X131"/>
      <c r="Y131"/>
      <c r="Z131"/>
      <c r="AA131"/>
      <c r="AB131"/>
      <c r="AC131"/>
      <c r="AD131"/>
      <c r="AE131"/>
      <c r="AF131"/>
      <c r="AG131"/>
      <c r="AH131"/>
      <c r="AI131"/>
      <c r="AJ131"/>
      <c r="AK131"/>
      <c r="AL131"/>
    </row>
    <row r="132" spans="13:38">
      <c r="M132"/>
      <c r="N132"/>
      <c r="O132"/>
      <c r="P132"/>
      <c r="Q132"/>
      <c r="R132"/>
      <c r="S132"/>
      <c r="T132"/>
      <c r="U132"/>
      <c r="V132"/>
      <c r="W132"/>
      <c r="X132"/>
      <c r="Y132"/>
      <c r="Z132"/>
      <c r="AA132"/>
      <c r="AB132"/>
      <c r="AC132"/>
      <c r="AD132"/>
      <c r="AE132"/>
      <c r="AF132"/>
      <c r="AG132"/>
      <c r="AH132"/>
      <c r="AI132"/>
      <c r="AJ132"/>
      <c r="AK132"/>
      <c r="AL132"/>
    </row>
    <row r="133" spans="13:38">
      <c r="M133"/>
      <c r="N133"/>
      <c r="O133"/>
      <c r="P133"/>
      <c r="Q133"/>
      <c r="R133"/>
      <c r="S133"/>
      <c r="T133"/>
      <c r="U133"/>
      <c r="V133"/>
      <c r="W133"/>
      <c r="X133"/>
      <c r="Y133"/>
      <c r="Z133"/>
      <c r="AA133"/>
      <c r="AB133"/>
      <c r="AC133"/>
      <c r="AD133"/>
      <c r="AE133"/>
      <c r="AF133"/>
      <c r="AG133"/>
      <c r="AH133"/>
      <c r="AI133"/>
      <c r="AJ133"/>
      <c r="AK133"/>
      <c r="AL133"/>
    </row>
    <row r="134" spans="13:38">
      <c r="M134"/>
      <c r="N134"/>
      <c r="O134"/>
      <c r="P134"/>
      <c r="Q134"/>
      <c r="R134"/>
      <c r="S134"/>
      <c r="T134"/>
      <c r="U134"/>
      <c r="V134"/>
      <c r="W134"/>
      <c r="X134"/>
      <c r="Y134"/>
      <c r="Z134"/>
      <c r="AA134"/>
      <c r="AB134"/>
      <c r="AC134"/>
      <c r="AD134"/>
      <c r="AE134"/>
      <c r="AF134"/>
      <c r="AG134"/>
      <c r="AH134"/>
      <c r="AI134"/>
      <c r="AJ134"/>
      <c r="AK134"/>
      <c r="AL134"/>
    </row>
    <row r="135" spans="13:38">
      <c r="M135"/>
      <c r="N135"/>
      <c r="O135"/>
      <c r="P135"/>
      <c r="Q135"/>
      <c r="R135"/>
      <c r="S135"/>
      <c r="T135"/>
      <c r="U135"/>
      <c r="V135"/>
      <c r="W135"/>
      <c r="X135"/>
      <c r="Y135"/>
      <c r="Z135"/>
      <c r="AA135"/>
      <c r="AB135"/>
      <c r="AC135"/>
      <c r="AD135"/>
      <c r="AE135"/>
      <c r="AF135"/>
      <c r="AG135"/>
      <c r="AH135"/>
      <c r="AI135"/>
      <c r="AJ135"/>
      <c r="AK135"/>
      <c r="AL135"/>
    </row>
    <row r="136" spans="13:38">
      <c r="M136"/>
      <c r="N136"/>
      <c r="O136"/>
      <c r="P136"/>
      <c r="Q136"/>
      <c r="R136"/>
      <c r="S136"/>
      <c r="T136"/>
      <c r="U136"/>
      <c r="V136"/>
      <c r="W136"/>
      <c r="X136"/>
      <c r="Y136"/>
      <c r="Z136"/>
      <c r="AA136"/>
      <c r="AB136"/>
      <c r="AC136"/>
      <c r="AD136"/>
      <c r="AE136"/>
      <c r="AF136"/>
      <c r="AG136"/>
      <c r="AH136"/>
      <c r="AI136"/>
      <c r="AJ136"/>
      <c r="AK136"/>
      <c r="AL136"/>
    </row>
    <row r="137" spans="13:38">
      <c r="M137"/>
      <c r="N137"/>
      <c r="O137"/>
      <c r="P137"/>
      <c r="Q137"/>
      <c r="R137"/>
      <c r="S137"/>
      <c r="T137"/>
      <c r="U137"/>
      <c r="V137"/>
      <c r="W137"/>
      <c r="X137"/>
      <c r="Y137"/>
      <c r="Z137"/>
      <c r="AA137"/>
      <c r="AB137"/>
      <c r="AC137"/>
      <c r="AD137"/>
      <c r="AE137"/>
      <c r="AF137"/>
      <c r="AG137"/>
      <c r="AH137"/>
      <c r="AI137"/>
      <c r="AJ137"/>
      <c r="AK137"/>
      <c r="AL137"/>
    </row>
    <row r="138" spans="13:38">
      <c r="M138"/>
      <c r="N138"/>
      <c r="O138"/>
      <c r="P138"/>
      <c r="Q138"/>
      <c r="R138"/>
      <c r="S138"/>
      <c r="T138"/>
      <c r="U138"/>
      <c r="V138"/>
      <c r="W138"/>
      <c r="X138"/>
      <c r="Y138"/>
      <c r="Z138"/>
      <c r="AA138"/>
      <c r="AB138"/>
      <c r="AC138"/>
      <c r="AD138"/>
      <c r="AE138"/>
      <c r="AF138"/>
      <c r="AG138"/>
      <c r="AH138"/>
      <c r="AI138"/>
      <c r="AJ138"/>
      <c r="AK138"/>
      <c r="AL138"/>
    </row>
    <row r="139" spans="13:38">
      <c r="M139"/>
      <c r="N139"/>
      <c r="O139"/>
      <c r="P139"/>
      <c r="Q139"/>
      <c r="R139"/>
      <c r="S139"/>
      <c r="T139"/>
      <c r="U139"/>
      <c r="V139"/>
      <c r="W139"/>
      <c r="X139"/>
      <c r="Y139"/>
      <c r="Z139"/>
      <c r="AA139"/>
      <c r="AB139"/>
      <c r="AC139"/>
      <c r="AD139"/>
      <c r="AE139"/>
      <c r="AF139"/>
      <c r="AG139"/>
      <c r="AH139"/>
      <c r="AI139"/>
      <c r="AJ139"/>
      <c r="AK139"/>
      <c r="AL139"/>
    </row>
    <row r="140" spans="13:38">
      <c r="M140"/>
      <c r="N140"/>
      <c r="O140"/>
      <c r="P140"/>
      <c r="Q140"/>
      <c r="R140"/>
      <c r="S140"/>
      <c r="T140"/>
      <c r="U140"/>
      <c r="V140"/>
      <c r="W140"/>
      <c r="X140"/>
      <c r="Y140"/>
      <c r="Z140"/>
      <c r="AA140"/>
      <c r="AB140"/>
      <c r="AC140"/>
      <c r="AD140"/>
      <c r="AE140"/>
      <c r="AF140"/>
      <c r="AG140"/>
      <c r="AH140"/>
      <c r="AI140"/>
      <c r="AJ140"/>
      <c r="AK140"/>
      <c r="AL140"/>
    </row>
    <row r="141" spans="13:38">
      <c r="M141"/>
      <c r="N141"/>
      <c r="O141"/>
      <c r="P141"/>
      <c r="Q141"/>
      <c r="R141"/>
      <c r="S141"/>
      <c r="T141"/>
      <c r="U141"/>
      <c r="V141"/>
      <c r="W141"/>
      <c r="X141"/>
      <c r="Y141"/>
      <c r="Z141"/>
      <c r="AA141"/>
      <c r="AB141"/>
      <c r="AC141"/>
      <c r="AD141"/>
      <c r="AE141"/>
      <c r="AF141"/>
      <c r="AG141"/>
      <c r="AH141"/>
      <c r="AI141"/>
      <c r="AJ141"/>
      <c r="AK141"/>
      <c r="AL141"/>
    </row>
    <row r="142" spans="13:38">
      <c r="M142"/>
      <c r="N142"/>
      <c r="O142"/>
      <c r="P142"/>
      <c r="Q142"/>
      <c r="R142"/>
      <c r="S142"/>
      <c r="T142"/>
      <c r="U142"/>
      <c r="V142"/>
      <c r="W142"/>
      <c r="X142"/>
      <c r="Y142"/>
      <c r="Z142"/>
      <c r="AA142"/>
      <c r="AB142"/>
      <c r="AC142"/>
      <c r="AD142"/>
      <c r="AE142"/>
      <c r="AF142"/>
      <c r="AG142"/>
      <c r="AH142"/>
      <c r="AI142"/>
      <c r="AJ142"/>
      <c r="AK142"/>
      <c r="AL142"/>
    </row>
    <row r="143" spans="13:38">
      <c r="M143"/>
      <c r="N143"/>
      <c r="O143"/>
      <c r="P143"/>
      <c r="Q143"/>
      <c r="R143"/>
      <c r="S143"/>
      <c r="T143"/>
      <c r="U143"/>
      <c r="V143"/>
      <c r="W143"/>
      <c r="X143"/>
      <c r="Y143"/>
      <c r="Z143"/>
      <c r="AA143"/>
      <c r="AB143"/>
      <c r="AC143"/>
      <c r="AD143"/>
      <c r="AE143"/>
      <c r="AF143"/>
      <c r="AG143"/>
      <c r="AH143"/>
      <c r="AI143"/>
      <c r="AJ143"/>
      <c r="AK143"/>
      <c r="AL143"/>
    </row>
    <row r="144" spans="13:38">
      <c r="M144"/>
      <c r="N144"/>
      <c r="O144"/>
      <c r="P144"/>
      <c r="Q144"/>
      <c r="R144"/>
      <c r="S144"/>
      <c r="T144"/>
      <c r="U144"/>
      <c r="V144"/>
      <c r="W144"/>
      <c r="X144"/>
      <c r="Y144"/>
      <c r="Z144"/>
      <c r="AA144"/>
      <c r="AB144"/>
      <c r="AC144"/>
      <c r="AD144"/>
      <c r="AE144"/>
      <c r="AF144"/>
      <c r="AG144"/>
      <c r="AH144"/>
      <c r="AI144"/>
      <c r="AJ144"/>
      <c r="AK144"/>
      <c r="AL144"/>
    </row>
    <row r="145" spans="13:38">
      <c r="M145"/>
      <c r="N145"/>
      <c r="O145"/>
      <c r="P145"/>
      <c r="Q145"/>
      <c r="R145"/>
      <c r="S145"/>
      <c r="T145"/>
      <c r="U145"/>
      <c r="V145"/>
      <c r="W145"/>
      <c r="X145"/>
      <c r="Y145"/>
      <c r="Z145"/>
      <c r="AA145"/>
      <c r="AB145"/>
      <c r="AC145"/>
      <c r="AD145"/>
      <c r="AE145"/>
      <c r="AF145"/>
      <c r="AG145"/>
      <c r="AH145"/>
      <c r="AI145"/>
      <c r="AJ145"/>
      <c r="AK145"/>
      <c r="AL145"/>
    </row>
    <row r="146" spans="13:38">
      <c r="M146"/>
      <c r="N146"/>
      <c r="O146"/>
      <c r="P146"/>
      <c r="Q146"/>
      <c r="R146"/>
      <c r="S146"/>
      <c r="T146"/>
      <c r="U146"/>
      <c r="V146"/>
      <c r="W146"/>
      <c r="X146"/>
      <c r="Y146"/>
      <c r="Z146"/>
      <c r="AA146"/>
      <c r="AB146"/>
      <c r="AC146"/>
      <c r="AD146"/>
      <c r="AE146"/>
      <c r="AF146"/>
      <c r="AG146"/>
      <c r="AH146"/>
      <c r="AI146"/>
      <c r="AJ146"/>
      <c r="AK146"/>
      <c r="AL146"/>
    </row>
    <row r="147" spans="13:38">
      <c r="M147"/>
      <c r="N147"/>
      <c r="O147"/>
      <c r="P147"/>
      <c r="Q147"/>
      <c r="R147"/>
      <c r="S147"/>
      <c r="T147"/>
      <c r="U147"/>
      <c r="V147"/>
      <c r="W147"/>
      <c r="X147"/>
      <c r="Y147"/>
      <c r="Z147"/>
      <c r="AA147"/>
      <c r="AB147"/>
      <c r="AC147"/>
      <c r="AD147"/>
      <c r="AE147"/>
      <c r="AF147"/>
      <c r="AG147"/>
      <c r="AH147"/>
      <c r="AI147"/>
      <c r="AJ147"/>
      <c r="AK147"/>
      <c r="AL147"/>
    </row>
    <row r="148" spans="13:38">
      <c r="M148"/>
      <c r="N148"/>
      <c r="O148"/>
      <c r="P148"/>
      <c r="Q148"/>
      <c r="R148"/>
      <c r="S148"/>
      <c r="T148"/>
      <c r="U148"/>
      <c r="V148"/>
      <c r="W148"/>
      <c r="X148"/>
      <c r="Y148"/>
      <c r="Z148"/>
      <c r="AA148"/>
      <c r="AB148"/>
      <c r="AC148"/>
      <c r="AD148"/>
      <c r="AE148"/>
      <c r="AF148"/>
      <c r="AG148"/>
      <c r="AH148"/>
      <c r="AI148"/>
      <c r="AJ148"/>
      <c r="AK148"/>
      <c r="AL148"/>
    </row>
    <row r="149" spans="13:38">
      <c r="M149"/>
      <c r="N149"/>
      <c r="O149"/>
      <c r="P149"/>
      <c r="Q149"/>
      <c r="R149"/>
      <c r="S149"/>
      <c r="T149"/>
      <c r="U149"/>
      <c r="V149"/>
      <c r="W149"/>
      <c r="X149"/>
      <c r="Y149"/>
      <c r="Z149"/>
      <c r="AA149"/>
      <c r="AB149"/>
      <c r="AC149"/>
      <c r="AD149"/>
      <c r="AE149"/>
      <c r="AF149"/>
      <c r="AG149"/>
      <c r="AH149"/>
      <c r="AI149"/>
      <c r="AJ149"/>
      <c r="AK149"/>
      <c r="AL149"/>
    </row>
    <row r="150" spans="13:38">
      <c r="M150"/>
      <c r="N150"/>
      <c r="O150"/>
      <c r="P150"/>
      <c r="Q150"/>
      <c r="R150"/>
      <c r="S150"/>
      <c r="T150"/>
      <c r="U150"/>
      <c r="V150"/>
      <c r="W150"/>
      <c r="X150"/>
      <c r="Y150"/>
      <c r="Z150"/>
      <c r="AA150"/>
      <c r="AB150"/>
      <c r="AC150"/>
      <c r="AD150"/>
      <c r="AE150"/>
      <c r="AF150"/>
      <c r="AG150"/>
      <c r="AH150"/>
      <c r="AI150"/>
      <c r="AJ150"/>
      <c r="AK150"/>
      <c r="AL150"/>
    </row>
    <row r="151" spans="13:38">
      <c r="M151"/>
      <c r="N151"/>
      <c r="O151"/>
      <c r="P151"/>
      <c r="Q151"/>
      <c r="R151"/>
      <c r="S151"/>
      <c r="T151"/>
      <c r="U151"/>
      <c r="V151"/>
      <c r="W151"/>
      <c r="X151"/>
      <c r="Y151"/>
      <c r="Z151"/>
      <c r="AA151"/>
      <c r="AB151"/>
      <c r="AC151"/>
      <c r="AD151"/>
      <c r="AE151"/>
      <c r="AF151"/>
      <c r="AG151"/>
      <c r="AH151"/>
      <c r="AI151"/>
      <c r="AJ151"/>
      <c r="AK151"/>
      <c r="AL151"/>
    </row>
    <row r="152" spans="13:38">
      <c r="M152"/>
      <c r="N152"/>
      <c r="O152"/>
      <c r="P152"/>
      <c r="Q152"/>
      <c r="R152"/>
      <c r="S152"/>
      <c r="T152"/>
      <c r="U152"/>
      <c r="V152"/>
      <c r="W152"/>
      <c r="X152"/>
      <c r="Y152"/>
      <c r="Z152"/>
      <c r="AA152"/>
      <c r="AB152"/>
      <c r="AC152"/>
      <c r="AD152"/>
      <c r="AE152"/>
      <c r="AF152"/>
      <c r="AG152"/>
      <c r="AH152"/>
      <c r="AI152"/>
      <c r="AJ152"/>
      <c r="AK152"/>
      <c r="AL152"/>
    </row>
    <row r="153" spans="13:38">
      <c r="M153"/>
      <c r="N153"/>
      <c r="O153"/>
      <c r="P153"/>
      <c r="Q153"/>
      <c r="R153"/>
      <c r="S153"/>
      <c r="T153"/>
      <c r="U153"/>
      <c r="V153"/>
      <c r="W153"/>
      <c r="X153"/>
      <c r="Y153"/>
      <c r="Z153"/>
      <c r="AA153"/>
      <c r="AB153"/>
      <c r="AC153"/>
      <c r="AD153"/>
      <c r="AE153"/>
      <c r="AF153"/>
      <c r="AG153"/>
      <c r="AH153"/>
      <c r="AI153"/>
      <c r="AJ153"/>
      <c r="AK153"/>
      <c r="AL153"/>
    </row>
    <row r="154" spans="13:38">
      <c r="M154"/>
      <c r="N154"/>
      <c r="O154"/>
      <c r="P154"/>
      <c r="Q154"/>
      <c r="R154"/>
      <c r="S154"/>
      <c r="T154"/>
      <c r="U154"/>
      <c r="V154"/>
      <c r="W154"/>
      <c r="X154"/>
      <c r="Y154"/>
      <c r="Z154"/>
      <c r="AA154"/>
      <c r="AB154"/>
      <c r="AC154"/>
      <c r="AD154"/>
      <c r="AE154"/>
      <c r="AF154"/>
      <c r="AG154"/>
      <c r="AH154"/>
      <c r="AI154"/>
      <c r="AJ154"/>
      <c r="AK154"/>
      <c r="AL154"/>
    </row>
    <row r="155" spans="13:38">
      <c r="M155"/>
      <c r="N155"/>
      <c r="O155"/>
      <c r="P155"/>
      <c r="Q155"/>
      <c r="R155"/>
      <c r="S155"/>
      <c r="T155"/>
      <c r="U155"/>
      <c r="V155"/>
      <c r="W155"/>
      <c r="X155"/>
      <c r="Y155"/>
      <c r="Z155"/>
      <c r="AA155"/>
      <c r="AB155"/>
      <c r="AC155"/>
      <c r="AD155"/>
      <c r="AE155"/>
      <c r="AF155"/>
      <c r="AG155"/>
      <c r="AH155"/>
      <c r="AI155"/>
      <c r="AJ155"/>
      <c r="AK155"/>
      <c r="AL155"/>
    </row>
    <row r="156" spans="13:38">
      <c r="M156"/>
      <c r="N156"/>
      <c r="O156"/>
      <c r="P156"/>
      <c r="Q156"/>
      <c r="R156"/>
      <c r="S156"/>
      <c r="T156"/>
      <c r="U156"/>
      <c r="V156"/>
      <c r="W156"/>
      <c r="X156"/>
      <c r="Y156"/>
      <c r="Z156"/>
      <c r="AA156"/>
      <c r="AB156"/>
      <c r="AC156"/>
      <c r="AD156"/>
      <c r="AE156"/>
      <c r="AF156"/>
      <c r="AG156"/>
      <c r="AH156"/>
      <c r="AI156"/>
      <c r="AJ156"/>
      <c r="AK156"/>
      <c r="AL156"/>
    </row>
    <row r="157" spans="13:38">
      <c r="M157"/>
      <c r="N157"/>
      <c r="O157"/>
      <c r="P157"/>
      <c r="Q157"/>
      <c r="R157"/>
      <c r="S157"/>
      <c r="T157"/>
      <c r="U157"/>
      <c r="V157"/>
      <c r="W157"/>
      <c r="X157"/>
      <c r="Y157"/>
      <c r="Z157"/>
      <c r="AA157"/>
      <c r="AB157"/>
      <c r="AC157"/>
      <c r="AD157"/>
      <c r="AE157"/>
      <c r="AF157"/>
      <c r="AG157"/>
      <c r="AH157"/>
      <c r="AI157"/>
      <c r="AJ157"/>
      <c r="AK157"/>
      <c r="AL157"/>
    </row>
    <row r="158" spans="13:38">
      <c r="M158"/>
      <c r="N158"/>
      <c r="O158"/>
      <c r="P158"/>
      <c r="Q158"/>
      <c r="R158"/>
      <c r="S158"/>
      <c r="T158"/>
      <c r="U158"/>
      <c r="V158"/>
      <c r="W158"/>
      <c r="X158"/>
      <c r="Y158"/>
      <c r="Z158"/>
      <c r="AA158"/>
      <c r="AB158"/>
      <c r="AC158"/>
      <c r="AD158"/>
      <c r="AE158"/>
      <c r="AF158"/>
      <c r="AG158"/>
      <c r="AH158"/>
      <c r="AI158"/>
      <c r="AJ158"/>
      <c r="AK158"/>
      <c r="AL158"/>
    </row>
    <row r="159" spans="13:38">
      <c r="M159"/>
      <c r="N159"/>
      <c r="O159"/>
      <c r="P159"/>
      <c r="Q159"/>
      <c r="R159"/>
      <c r="S159"/>
      <c r="T159"/>
      <c r="U159"/>
      <c r="V159"/>
      <c r="W159"/>
      <c r="X159"/>
      <c r="Y159"/>
      <c r="Z159"/>
      <c r="AA159"/>
      <c r="AB159"/>
      <c r="AC159"/>
      <c r="AD159"/>
      <c r="AE159"/>
      <c r="AF159"/>
      <c r="AG159"/>
      <c r="AH159"/>
      <c r="AI159"/>
      <c r="AJ159"/>
      <c r="AK159"/>
      <c r="AL159"/>
    </row>
    <row r="160" spans="13:38">
      <c r="M160"/>
      <c r="N160"/>
      <c r="O160"/>
      <c r="P160"/>
      <c r="Q160"/>
      <c r="R160"/>
      <c r="S160"/>
      <c r="T160"/>
      <c r="U160"/>
      <c r="V160"/>
      <c r="W160"/>
      <c r="X160"/>
      <c r="Y160"/>
      <c r="Z160"/>
      <c r="AA160"/>
      <c r="AB160"/>
      <c r="AC160"/>
      <c r="AD160"/>
      <c r="AE160"/>
      <c r="AF160"/>
      <c r="AG160"/>
      <c r="AH160"/>
      <c r="AI160"/>
      <c r="AJ160"/>
      <c r="AK160"/>
      <c r="AL160"/>
    </row>
    <row r="161" spans="13:38">
      <c r="M161"/>
      <c r="N161"/>
      <c r="O161"/>
      <c r="P161"/>
      <c r="Q161"/>
      <c r="R161"/>
      <c r="S161"/>
      <c r="T161"/>
      <c r="U161"/>
      <c r="V161"/>
      <c r="W161"/>
      <c r="X161"/>
      <c r="Y161"/>
      <c r="Z161"/>
      <c r="AA161"/>
      <c r="AB161"/>
      <c r="AC161"/>
      <c r="AD161"/>
      <c r="AE161"/>
      <c r="AF161"/>
      <c r="AG161"/>
      <c r="AH161"/>
      <c r="AI161"/>
      <c r="AJ161"/>
      <c r="AK161"/>
      <c r="AL161"/>
    </row>
    <row r="162" spans="13:38">
      <c r="M162"/>
      <c r="N162"/>
      <c r="O162"/>
      <c r="P162"/>
      <c r="Q162"/>
      <c r="R162"/>
      <c r="S162"/>
      <c r="T162"/>
      <c r="U162"/>
      <c r="V162"/>
      <c r="W162"/>
      <c r="X162"/>
      <c r="Y162"/>
      <c r="Z162"/>
      <c r="AA162"/>
      <c r="AB162"/>
      <c r="AC162"/>
      <c r="AD162"/>
      <c r="AE162"/>
      <c r="AF162"/>
      <c r="AG162"/>
      <c r="AH162"/>
      <c r="AI162"/>
      <c r="AJ162"/>
      <c r="AK162"/>
      <c r="AL162"/>
    </row>
    <row r="163" spans="13:38">
      <c r="M163"/>
      <c r="N163"/>
      <c r="O163"/>
      <c r="P163"/>
      <c r="Q163"/>
      <c r="R163"/>
      <c r="S163"/>
      <c r="T163"/>
      <c r="U163"/>
      <c r="V163"/>
      <c r="W163"/>
      <c r="X163"/>
      <c r="Y163"/>
      <c r="Z163"/>
      <c r="AA163"/>
      <c r="AB163"/>
      <c r="AC163"/>
      <c r="AD163"/>
      <c r="AE163"/>
      <c r="AF163"/>
      <c r="AG163"/>
      <c r="AH163"/>
      <c r="AI163"/>
      <c r="AJ163"/>
      <c r="AK163"/>
      <c r="AL163"/>
    </row>
    <row r="164" spans="13:38">
      <c r="M164"/>
      <c r="N164"/>
      <c r="O164"/>
      <c r="P164"/>
      <c r="Q164"/>
      <c r="R164"/>
      <c r="S164"/>
      <c r="T164"/>
      <c r="U164"/>
      <c r="V164"/>
      <c r="W164"/>
      <c r="X164"/>
      <c r="Y164"/>
      <c r="Z164"/>
      <c r="AA164"/>
      <c r="AB164"/>
      <c r="AC164"/>
      <c r="AD164"/>
      <c r="AE164"/>
      <c r="AF164"/>
      <c r="AG164"/>
      <c r="AH164"/>
      <c r="AI164"/>
      <c r="AJ164"/>
      <c r="AK164"/>
      <c r="AL164"/>
    </row>
    <row r="165" spans="13:38">
      <c r="M165"/>
      <c r="N165"/>
      <c r="O165"/>
      <c r="P165"/>
      <c r="Q165"/>
      <c r="R165"/>
      <c r="S165"/>
      <c r="T165"/>
      <c r="U165"/>
      <c r="V165"/>
      <c r="W165"/>
      <c r="X165"/>
      <c r="Y165"/>
      <c r="Z165"/>
      <c r="AA165"/>
      <c r="AB165"/>
      <c r="AC165"/>
      <c r="AD165"/>
      <c r="AE165"/>
      <c r="AF165"/>
      <c r="AG165"/>
      <c r="AH165"/>
      <c r="AI165"/>
      <c r="AJ165"/>
      <c r="AK165"/>
      <c r="AL165"/>
    </row>
    <row r="166" spans="13:38">
      <c r="M166"/>
      <c r="N166"/>
      <c r="O166"/>
      <c r="P166"/>
      <c r="Q166"/>
      <c r="R166"/>
      <c r="S166"/>
      <c r="T166"/>
      <c r="U166"/>
      <c r="V166"/>
      <c r="W166"/>
      <c r="X166"/>
      <c r="Y166"/>
      <c r="Z166"/>
      <c r="AA166"/>
      <c r="AB166"/>
      <c r="AC166"/>
      <c r="AD166"/>
      <c r="AE166"/>
      <c r="AF166"/>
      <c r="AG166"/>
      <c r="AH166"/>
      <c r="AI166"/>
      <c r="AJ166"/>
      <c r="AK166"/>
      <c r="AL166"/>
    </row>
    <row r="167" spans="13:38">
      <c r="M167"/>
      <c r="N167"/>
      <c r="O167"/>
      <c r="P167"/>
      <c r="Q167"/>
      <c r="R167"/>
      <c r="S167"/>
      <c r="T167"/>
      <c r="U167"/>
      <c r="V167"/>
      <c r="W167"/>
      <c r="X167"/>
      <c r="Y167"/>
      <c r="Z167"/>
      <c r="AA167"/>
      <c r="AB167"/>
      <c r="AC167"/>
      <c r="AD167"/>
      <c r="AE167"/>
      <c r="AF167"/>
      <c r="AG167"/>
      <c r="AH167"/>
      <c r="AI167"/>
      <c r="AJ167"/>
      <c r="AK167"/>
      <c r="AL167"/>
    </row>
    <row r="168" spans="13:38">
      <c r="M168"/>
      <c r="N168"/>
      <c r="O168"/>
      <c r="P168"/>
      <c r="Q168"/>
      <c r="R168"/>
      <c r="S168"/>
      <c r="T168"/>
      <c r="U168"/>
      <c r="V168"/>
      <c r="W168"/>
      <c r="X168"/>
      <c r="Y168"/>
      <c r="Z168"/>
      <c r="AA168"/>
      <c r="AB168"/>
      <c r="AC168"/>
      <c r="AD168"/>
      <c r="AE168"/>
      <c r="AF168"/>
      <c r="AG168"/>
      <c r="AH168"/>
      <c r="AI168"/>
      <c r="AJ168"/>
      <c r="AK168"/>
      <c r="AL168"/>
    </row>
    <row r="169" spans="13:38">
      <c r="M169"/>
      <c r="N169"/>
      <c r="O169"/>
      <c r="P169"/>
      <c r="Q169"/>
      <c r="R169"/>
      <c r="S169"/>
      <c r="T169"/>
      <c r="U169"/>
      <c r="V169"/>
      <c r="W169"/>
      <c r="X169"/>
      <c r="Y169"/>
      <c r="Z169"/>
      <c r="AA169"/>
      <c r="AB169"/>
      <c r="AC169"/>
      <c r="AD169"/>
      <c r="AE169"/>
      <c r="AF169"/>
      <c r="AG169"/>
      <c r="AH169"/>
      <c r="AI169"/>
      <c r="AJ169"/>
      <c r="AK169"/>
      <c r="AL169"/>
    </row>
    <row r="170" spans="13:38">
      <c r="M170"/>
      <c r="N170"/>
      <c r="O170"/>
      <c r="P170"/>
      <c r="Q170"/>
      <c r="R170"/>
      <c r="S170"/>
      <c r="T170"/>
      <c r="U170"/>
      <c r="V170"/>
      <c r="W170"/>
      <c r="X170"/>
      <c r="Y170"/>
      <c r="Z170"/>
      <c r="AA170"/>
      <c r="AB170"/>
      <c r="AC170"/>
      <c r="AD170"/>
      <c r="AE170"/>
      <c r="AF170"/>
      <c r="AG170"/>
      <c r="AH170"/>
      <c r="AI170"/>
      <c r="AJ170"/>
      <c r="AK170"/>
      <c r="AL170"/>
    </row>
    <row r="171" spans="13:38">
      <c r="M171"/>
      <c r="N171"/>
      <c r="O171"/>
      <c r="P171"/>
      <c r="Q171"/>
      <c r="R171"/>
      <c r="S171"/>
      <c r="T171"/>
      <c r="U171"/>
      <c r="V171"/>
      <c r="W171"/>
      <c r="X171"/>
      <c r="Y171"/>
      <c r="Z171"/>
      <c r="AA171"/>
      <c r="AB171"/>
      <c r="AC171"/>
      <c r="AD171"/>
      <c r="AE171"/>
      <c r="AF171"/>
      <c r="AG171"/>
      <c r="AH171"/>
      <c r="AI171"/>
      <c r="AJ171"/>
      <c r="AK171"/>
      <c r="AL171"/>
    </row>
    <row r="172" spans="13:38">
      <c r="M172"/>
      <c r="N172"/>
      <c r="O172"/>
      <c r="P172"/>
      <c r="Q172"/>
      <c r="R172"/>
      <c r="S172"/>
      <c r="T172"/>
      <c r="U172"/>
      <c r="V172"/>
      <c r="W172"/>
      <c r="X172"/>
      <c r="Y172"/>
      <c r="Z172"/>
      <c r="AA172"/>
      <c r="AB172"/>
      <c r="AC172"/>
      <c r="AD172"/>
      <c r="AE172"/>
      <c r="AF172"/>
      <c r="AG172"/>
      <c r="AH172"/>
      <c r="AI172"/>
      <c r="AJ172"/>
      <c r="AK172"/>
      <c r="AL172"/>
    </row>
    <row r="173" spans="13:38">
      <c r="M173"/>
      <c r="N173"/>
      <c r="O173"/>
      <c r="P173"/>
      <c r="Q173"/>
      <c r="R173"/>
      <c r="S173"/>
      <c r="T173"/>
      <c r="U173"/>
      <c r="V173"/>
      <c r="W173"/>
      <c r="X173"/>
      <c r="Y173"/>
      <c r="Z173"/>
      <c r="AA173"/>
      <c r="AB173"/>
      <c r="AC173"/>
      <c r="AD173"/>
      <c r="AE173"/>
      <c r="AF173"/>
      <c r="AG173"/>
      <c r="AH173"/>
      <c r="AI173"/>
      <c r="AJ173"/>
      <c r="AK173"/>
      <c r="AL173"/>
    </row>
    <row r="174" spans="13:38">
      <c r="M174"/>
      <c r="N174"/>
      <c r="O174"/>
      <c r="P174"/>
      <c r="Q174"/>
      <c r="R174"/>
      <c r="S174"/>
      <c r="T174"/>
      <c r="U174"/>
      <c r="V174"/>
      <c r="W174"/>
      <c r="X174"/>
      <c r="Y174"/>
      <c r="Z174"/>
      <c r="AA174"/>
      <c r="AB174"/>
      <c r="AC174"/>
      <c r="AD174"/>
      <c r="AE174"/>
      <c r="AF174"/>
      <c r="AG174"/>
      <c r="AH174"/>
      <c r="AI174"/>
      <c r="AJ174"/>
      <c r="AK174"/>
      <c r="AL174"/>
    </row>
    <row r="175" spans="13:38">
      <c r="M175"/>
      <c r="N175"/>
      <c r="O175"/>
      <c r="P175"/>
      <c r="Q175"/>
      <c r="R175"/>
      <c r="S175"/>
      <c r="T175"/>
      <c r="U175"/>
      <c r="V175"/>
      <c r="W175"/>
      <c r="X175"/>
      <c r="Y175"/>
      <c r="Z175"/>
      <c r="AA175"/>
      <c r="AB175"/>
      <c r="AC175"/>
      <c r="AD175"/>
      <c r="AE175"/>
      <c r="AF175"/>
      <c r="AG175"/>
      <c r="AH175"/>
      <c r="AI175"/>
      <c r="AJ175"/>
      <c r="AK175"/>
      <c r="AL175"/>
    </row>
    <row r="176" spans="13:38">
      <c r="M176"/>
      <c r="N176"/>
      <c r="O176"/>
      <c r="P176"/>
      <c r="Q176"/>
      <c r="R176"/>
      <c r="S176"/>
      <c r="T176"/>
      <c r="U176"/>
      <c r="V176"/>
      <c r="W176"/>
      <c r="X176"/>
      <c r="Y176"/>
      <c r="Z176"/>
      <c r="AA176"/>
      <c r="AB176"/>
      <c r="AC176"/>
      <c r="AD176"/>
      <c r="AE176"/>
      <c r="AF176"/>
      <c r="AG176"/>
      <c r="AH176"/>
      <c r="AI176"/>
      <c r="AJ176"/>
      <c r="AK176"/>
      <c r="AL176"/>
    </row>
    <row r="177" spans="13:38">
      <c r="M177"/>
      <c r="N177"/>
      <c r="O177"/>
      <c r="P177"/>
      <c r="Q177"/>
      <c r="R177"/>
      <c r="S177"/>
      <c r="T177"/>
      <c r="U177"/>
      <c r="V177"/>
      <c r="W177"/>
      <c r="X177"/>
      <c r="Y177"/>
      <c r="Z177"/>
      <c r="AA177"/>
      <c r="AB177"/>
      <c r="AC177"/>
      <c r="AD177"/>
      <c r="AE177"/>
      <c r="AF177"/>
      <c r="AG177"/>
      <c r="AH177"/>
      <c r="AI177"/>
      <c r="AJ177"/>
      <c r="AK177"/>
      <c r="AL177"/>
    </row>
    <row r="178" spans="13:38">
      <c r="M178"/>
      <c r="N178"/>
      <c r="O178"/>
      <c r="P178"/>
      <c r="Q178"/>
      <c r="R178"/>
      <c r="S178"/>
      <c r="T178"/>
      <c r="U178"/>
      <c r="V178"/>
      <c r="W178"/>
      <c r="X178"/>
      <c r="Y178"/>
      <c r="Z178"/>
      <c r="AA178"/>
      <c r="AB178"/>
      <c r="AC178"/>
      <c r="AD178"/>
      <c r="AE178"/>
      <c r="AF178"/>
      <c r="AG178"/>
      <c r="AH178"/>
      <c r="AI178"/>
      <c r="AJ178"/>
      <c r="AK178"/>
      <c r="AL178"/>
    </row>
    <row r="179" spans="13:38">
      <c r="M179"/>
      <c r="N179"/>
      <c r="O179"/>
      <c r="P179"/>
      <c r="Q179"/>
      <c r="R179"/>
      <c r="S179"/>
      <c r="T179"/>
      <c r="U179"/>
      <c r="V179"/>
      <c r="W179"/>
      <c r="X179"/>
      <c r="Y179"/>
      <c r="Z179"/>
      <c r="AA179"/>
      <c r="AB179"/>
      <c r="AC179"/>
      <c r="AD179"/>
      <c r="AE179"/>
      <c r="AF179"/>
      <c r="AG179"/>
      <c r="AH179"/>
      <c r="AI179"/>
      <c r="AJ179"/>
      <c r="AK179"/>
      <c r="AL179"/>
    </row>
    <row r="180" spans="13:38">
      <c r="M180"/>
      <c r="N180"/>
      <c r="O180"/>
      <c r="P180"/>
      <c r="Q180"/>
      <c r="R180"/>
      <c r="S180"/>
      <c r="T180"/>
      <c r="U180"/>
      <c r="V180"/>
      <c r="W180"/>
      <c r="X180"/>
      <c r="Y180"/>
      <c r="Z180"/>
      <c r="AA180"/>
      <c r="AB180"/>
      <c r="AC180"/>
      <c r="AD180"/>
      <c r="AE180"/>
      <c r="AF180"/>
      <c r="AG180"/>
      <c r="AH180"/>
      <c r="AI180"/>
      <c r="AJ180"/>
      <c r="AK180"/>
      <c r="AL180"/>
    </row>
    <row r="181" spans="13:38">
      <c r="M181"/>
      <c r="N181"/>
      <c r="O181"/>
      <c r="P181"/>
      <c r="Q181"/>
      <c r="R181"/>
      <c r="S181"/>
      <c r="T181"/>
      <c r="U181"/>
      <c r="V181"/>
      <c r="W181"/>
      <c r="X181"/>
      <c r="Y181"/>
      <c r="Z181"/>
      <c r="AA181"/>
      <c r="AB181"/>
      <c r="AC181"/>
      <c r="AD181"/>
      <c r="AE181"/>
      <c r="AF181"/>
      <c r="AG181"/>
      <c r="AH181"/>
      <c r="AI181"/>
      <c r="AJ181"/>
      <c r="AK181"/>
      <c r="AL181"/>
    </row>
    <row r="182" spans="13:38">
      <c r="M182"/>
      <c r="N182"/>
      <c r="O182"/>
      <c r="P182"/>
      <c r="Q182"/>
      <c r="R182"/>
      <c r="S182"/>
      <c r="T182"/>
      <c r="U182"/>
      <c r="V182"/>
      <c r="W182"/>
      <c r="X182"/>
      <c r="Y182"/>
      <c r="Z182"/>
      <c r="AA182"/>
      <c r="AB182"/>
      <c r="AC182"/>
      <c r="AD182"/>
      <c r="AE182"/>
      <c r="AF182"/>
      <c r="AG182"/>
      <c r="AH182"/>
      <c r="AI182"/>
      <c r="AJ182"/>
      <c r="AK182"/>
      <c r="AL182"/>
    </row>
    <row r="183" spans="13:38">
      <c r="M183"/>
      <c r="N183"/>
      <c r="O183"/>
      <c r="P183"/>
      <c r="Q183"/>
      <c r="R183"/>
      <c r="S183"/>
      <c r="T183"/>
      <c r="U183"/>
      <c r="V183"/>
      <c r="W183"/>
      <c r="X183"/>
      <c r="Y183"/>
      <c r="Z183"/>
      <c r="AA183"/>
      <c r="AB183"/>
      <c r="AC183"/>
      <c r="AD183"/>
      <c r="AE183"/>
      <c r="AF183"/>
      <c r="AG183"/>
      <c r="AH183"/>
      <c r="AI183"/>
      <c r="AJ183"/>
      <c r="AK183"/>
      <c r="AL183"/>
    </row>
    <row r="184" spans="13:38">
      <c r="M184"/>
      <c r="N184"/>
      <c r="O184"/>
      <c r="P184"/>
      <c r="Q184"/>
      <c r="R184"/>
      <c r="S184"/>
      <c r="T184"/>
      <c r="U184"/>
      <c r="V184"/>
      <c r="W184"/>
      <c r="X184"/>
      <c r="Y184"/>
      <c r="Z184"/>
      <c r="AA184"/>
      <c r="AB184"/>
      <c r="AC184"/>
      <c r="AD184"/>
      <c r="AE184"/>
      <c r="AF184"/>
      <c r="AG184"/>
      <c r="AH184"/>
      <c r="AI184"/>
      <c r="AJ184"/>
      <c r="AK184"/>
      <c r="AL184"/>
    </row>
    <row r="185" spans="13:38">
      <c r="M185"/>
      <c r="N185"/>
      <c r="O185"/>
      <c r="P185"/>
      <c r="Q185"/>
      <c r="R185"/>
      <c r="S185"/>
      <c r="T185"/>
      <c r="U185"/>
      <c r="V185"/>
      <c r="W185"/>
      <c r="X185"/>
      <c r="Y185"/>
      <c r="Z185"/>
      <c r="AA185"/>
      <c r="AB185"/>
      <c r="AC185"/>
      <c r="AD185"/>
      <c r="AE185"/>
      <c r="AF185"/>
      <c r="AG185"/>
      <c r="AH185"/>
      <c r="AI185"/>
      <c r="AJ185"/>
      <c r="AK185"/>
      <c r="AL185"/>
    </row>
    <row r="186" spans="13:38">
      <c r="M186"/>
      <c r="N186"/>
      <c r="O186"/>
      <c r="P186"/>
      <c r="Q186"/>
      <c r="R186"/>
      <c r="S186"/>
      <c r="T186"/>
      <c r="U186"/>
      <c r="V186"/>
      <c r="W186"/>
      <c r="X186"/>
      <c r="Y186"/>
      <c r="Z186"/>
      <c r="AA186"/>
      <c r="AB186"/>
      <c r="AC186"/>
      <c r="AD186"/>
      <c r="AE186"/>
      <c r="AF186"/>
      <c r="AG186"/>
      <c r="AH186"/>
      <c r="AI186"/>
      <c r="AJ186"/>
      <c r="AK186"/>
      <c r="AL186"/>
    </row>
    <row r="187" spans="13:38">
      <c r="M187"/>
      <c r="N187"/>
      <c r="O187"/>
      <c r="P187"/>
      <c r="Q187"/>
      <c r="R187"/>
      <c r="S187"/>
      <c r="T187"/>
      <c r="U187"/>
      <c r="V187"/>
      <c r="W187"/>
      <c r="X187"/>
      <c r="Y187"/>
      <c r="Z187"/>
      <c r="AA187"/>
      <c r="AB187"/>
      <c r="AC187"/>
      <c r="AD187"/>
      <c r="AE187"/>
      <c r="AF187"/>
      <c r="AG187"/>
      <c r="AH187"/>
      <c r="AI187"/>
      <c r="AJ187"/>
      <c r="AK187"/>
      <c r="AL187"/>
    </row>
    <row r="188" spans="13:38">
      <c r="M188"/>
      <c r="N188"/>
      <c r="O188"/>
      <c r="P188"/>
      <c r="Q188"/>
      <c r="R188"/>
      <c r="S188"/>
      <c r="T188"/>
      <c r="U188"/>
      <c r="V188"/>
      <c r="W188"/>
      <c r="X188"/>
      <c r="Y188"/>
      <c r="Z188"/>
      <c r="AA188"/>
      <c r="AB188"/>
      <c r="AC188"/>
      <c r="AD188"/>
      <c r="AE188"/>
      <c r="AF188"/>
      <c r="AG188"/>
      <c r="AH188"/>
      <c r="AI188"/>
      <c r="AJ188"/>
      <c r="AK188"/>
      <c r="AL188"/>
    </row>
    <row r="189" spans="13:38">
      <c r="M189"/>
      <c r="N189"/>
      <c r="O189"/>
      <c r="P189"/>
      <c r="Q189"/>
      <c r="R189"/>
      <c r="S189"/>
      <c r="T189"/>
      <c r="U189"/>
      <c r="V189"/>
      <c r="W189"/>
      <c r="X189"/>
      <c r="Y189"/>
      <c r="Z189"/>
      <c r="AA189"/>
      <c r="AB189"/>
      <c r="AC189"/>
      <c r="AD189"/>
      <c r="AE189"/>
      <c r="AF189"/>
      <c r="AG189"/>
      <c r="AH189"/>
      <c r="AI189"/>
      <c r="AJ189"/>
      <c r="AK189"/>
      <c r="AL189"/>
    </row>
    <row r="190" spans="13:38">
      <c r="M190"/>
      <c r="N190"/>
      <c r="O190"/>
      <c r="P190"/>
      <c r="Q190"/>
      <c r="R190"/>
      <c r="S190"/>
      <c r="T190"/>
      <c r="U190"/>
      <c r="V190"/>
      <c r="W190"/>
      <c r="X190"/>
      <c r="Y190"/>
      <c r="Z190"/>
      <c r="AA190"/>
      <c r="AB190"/>
      <c r="AC190"/>
      <c r="AD190"/>
      <c r="AE190"/>
      <c r="AF190"/>
      <c r="AG190"/>
      <c r="AH190"/>
      <c r="AI190"/>
      <c r="AJ190"/>
      <c r="AK190"/>
      <c r="AL190"/>
    </row>
    <row r="191" spans="13:38">
      <c r="M191"/>
      <c r="N191"/>
      <c r="O191"/>
      <c r="P191"/>
      <c r="Q191"/>
      <c r="R191"/>
      <c r="S191"/>
      <c r="T191"/>
      <c r="U191"/>
      <c r="V191"/>
      <c r="W191"/>
      <c r="X191"/>
      <c r="Y191"/>
      <c r="Z191"/>
      <c r="AA191"/>
      <c r="AB191"/>
      <c r="AC191"/>
      <c r="AD191"/>
      <c r="AE191"/>
      <c r="AF191"/>
      <c r="AG191"/>
      <c r="AH191"/>
      <c r="AI191"/>
      <c r="AJ191"/>
      <c r="AK191"/>
      <c r="AL191"/>
    </row>
    <row r="192" spans="13:38">
      <c r="M192"/>
      <c r="N192"/>
      <c r="O192"/>
      <c r="P192"/>
      <c r="Q192"/>
      <c r="R192"/>
      <c r="S192"/>
      <c r="T192"/>
      <c r="U192"/>
      <c r="V192"/>
      <c r="W192"/>
      <c r="X192"/>
      <c r="Y192"/>
      <c r="Z192"/>
      <c r="AA192"/>
      <c r="AB192"/>
      <c r="AC192"/>
      <c r="AD192"/>
      <c r="AE192"/>
      <c r="AF192"/>
      <c r="AG192"/>
      <c r="AH192"/>
      <c r="AI192"/>
      <c r="AJ192"/>
      <c r="AK192"/>
      <c r="AL192"/>
    </row>
    <row r="193" spans="13:38">
      <c r="M193"/>
      <c r="N193"/>
      <c r="O193"/>
      <c r="P193"/>
      <c r="Q193"/>
      <c r="R193"/>
      <c r="S193"/>
      <c r="T193"/>
      <c r="U193"/>
      <c r="V193"/>
      <c r="W193"/>
      <c r="X193"/>
      <c r="Y193"/>
      <c r="Z193"/>
      <c r="AA193"/>
      <c r="AB193"/>
      <c r="AC193"/>
      <c r="AD193"/>
      <c r="AE193"/>
      <c r="AF193"/>
      <c r="AG193"/>
      <c r="AH193"/>
      <c r="AI193"/>
      <c r="AJ193"/>
      <c r="AK193"/>
      <c r="AL193"/>
    </row>
    <row r="194" spans="13:38">
      <c r="M194"/>
      <c r="N194"/>
      <c r="O194"/>
      <c r="P194"/>
      <c r="Q194"/>
      <c r="R194"/>
      <c r="S194"/>
      <c r="T194"/>
      <c r="U194"/>
      <c r="V194"/>
      <c r="W194"/>
      <c r="X194"/>
      <c r="Y194"/>
      <c r="Z194"/>
      <c r="AA194"/>
      <c r="AB194"/>
      <c r="AC194"/>
      <c r="AD194"/>
      <c r="AE194"/>
      <c r="AF194"/>
      <c r="AG194"/>
      <c r="AH194"/>
      <c r="AI194"/>
      <c r="AJ194"/>
      <c r="AK194"/>
      <c r="AL194"/>
    </row>
    <row r="195" spans="13:38">
      <c r="M195"/>
      <c r="N195"/>
      <c r="O195"/>
      <c r="P195"/>
      <c r="Q195"/>
      <c r="R195"/>
      <c r="S195"/>
      <c r="T195"/>
      <c r="U195"/>
      <c r="V195"/>
      <c r="W195"/>
      <c r="X195"/>
      <c r="Y195"/>
      <c r="Z195"/>
      <c r="AA195"/>
      <c r="AB195"/>
      <c r="AC195"/>
      <c r="AD195"/>
      <c r="AE195"/>
      <c r="AF195"/>
      <c r="AG195"/>
      <c r="AH195"/>
      <c r="AI195"/>
      <c r="AJ195"/>
      <c r="AK195"/>
      <c r="AL195"/>
    </row>
    <row r="196" spans="13:38">
      <c r="M196"/>
      <c r="N196"/>
      <c r="O196"/>
      <c r="P196"/>
      <c r="Q196"/>
      <c r="R196"/>
      <c r="S196"/>
      <c r="T196"/>
      <c r="U196"/>
      <c r="V196"/>
      <c r="W196"/>
      <c r="X196"/>
      <c r="Y196"/>
      <c r="Z196"/>
      <c r="AA196"/>
      <c r="AB196"/>
      <c r="AC196"/>
      <c r="AD196"/>
      <c r="AE196"/>
      <c r="AF196"/>
      <c r="AG196"/>
      <c r="AH196"/>
      <c r="AI196"/>
      <c r="AJ196"/>
      <c r="AK196"/>
      <c r="AL196"/>
    </row>
    <row r="197" spans="13:38">
      <c r="M197"/>
      <c r="N197"/>
      <c r="O197"/>
      <c r="P197"/>
      <c r="Q197"/>
      <c r="R197"/>
      <c r="S197"/>
      <c r="T197"/>
      <c r="U197"/>
      <c r="V197"/>
      <c r="W197"/>
      <c r="X197"/>
      <c r="Y197"/>
      <c r="Z197"/>
      <c r="AA197"/>
      <c r="AB197"/>
      <c r="AC197"/>
      <c r="AD197"/>
      <c r="AE197"/>
      <c r="AF197"/>
      <c r="AG197"/>
      <c r="AH197"/>
      <c r="AI197"/>
      <c r="AJ197"/>
      <c r="AK197"/>
      <c r="AL197"/>
    </row>
    <row r="198" spans="13:38">
      <c r="M198"/>
      <c r="N198"/>
      <c r="O198"/>
      <c r="P198"/>
      <c r="Q198"/>
      <c r="R198"/>
      <c r="S198"/>
      <c r="T198"/>
      <c r="U198"/>
      <c r="V198"/>
      <c r="W198"/>
      <c r="X198"/>
      <c r="Y198"/>
      <c r="Z198"/>
      <c r="AA198"/>
      <c r="AB198"/>
      <c r="AC198"/>
      <c r="AD198"/>
      <c r="AE198"/>
      <c r="AF198"/>
      <c r="AG198"/>
      <c r="AH198"/>
      <c r="AI198"/>
      <c r="AJ198"/>
      <c r="AK198"/>
      <c r="AL198"/>
    </row>
    <row r="199" spans="13:38">
      <c r="M199"/>
      <c r="N199"/>
      <c r="O199"/>
      <c r="P199"/>
      <c r="Q199"/>
      <c r="R199"/>
      <c r="S199"/>
      <c r="T199"/>
      <c r="U199"/>
      <c r="V199"/>
      <c r="W199"/>
      <c r="X199"/>
      <c r="Y199"/>
      <c r="Z199"/>
      <c r="AA199"/>
      <c r="AB199"/>
      <c r="AC199"/>
      <c r="AD199"/>
      <c r="AE199"/>
      <c r="AF199"/>
      <c r="AG199"/>
      <c r="AH199"/>
      <c r="AI199"/>
      <c r="AJ199"/>
      <c r="AK199"/>
      <c r="AL199"/>
    </row>
    <row r="200" spans="13:38">
      <c r="M200"/>
      <c r="N200"/>
      <c r="O200"/>
      <c r="P200"/>
      <c r="Q200"/>
      <c r="R200"/>
      <c r="S200"/>
      <c r="T200"/>
      <c r="U200"/>
      <c r="V200"/>
      <c r="W200"/>
      <c r="X200"/>
      <c r="Y200"/>
      <c r="Z200"/>
      <c r="AA200"/>
      <c r="AB200"/>
      <c r="AC200"/>
      <c r="AD200"/>
      <c r="AE200"/>
      <c r="AF200"/>
      <c r="AG200"/>
      <c r="AH200"/>
      <c r="AI200"/>
      <c r="AJ200"/>
      <c r="AK200"/>
      <c r="AL200"/>
    </row>
    <row r="201" spans="13:38">
      <c r="M201"/>
      <c r="N201"/>
      <c r="O201"/>
      <c r="P201"/>
      <c r="Q201"/>
      <c r="R201"/>
      <c r="S201"/>
      <c r="T201"/>
      <c r="U201"/>
      <c r="V201"/>
      <c r="W201"/>
      <c r="X201"/>
      <c r="Y201"/>
      <c r="Z201"/>
      <c r="AA201"/>
      <c r="AB201"/>
      <c r="AC201"/>
      <c r="AD201"/>
      <c r="AE201"/>
      <c r="AF201"/>
      <c r="AG201"/>
      <c r="AH201"/>
      <c r="AI201"/>
      <c r="AJ201"/>
      <c r="AK201"/>
      <c r="AL201"/>
    </row>
    <row r="202" spans="13:38">
      <c r="M202"/>
      <c r="N202"/>
      <c r="O202"/>
      <c r="P202"/>
      <c r="Q202"/>
      <c r="R202"/>
      <c r="S202"/>
      <c r="T202"/>
      <c r="U202"/>
      <c r="V202"/>
      <c r="W202"/>
      <c r="X202"/>
      <c r="Y202"/>
      <c r="Z202"/>
      <c r="AA202"/>
      <c r="AB202"/>
      <c r="AC202"/>
      <c r="AD202"/>
      <c r="AE202"/>
      <c r="AF202"/>
      <c r="AG202"/>
      <c r="AH202"/>
      <c r="AI202"/>
      <c r="AJ202"/>
      <c r="AK202"/>
      <c r="AL202"/>
    </row>
    <row r="203" spans="13:38">
      <c r="M203"/>
      <c r="N203"/>
      <c r="O203"/>
      <c r="P203"/>
      <c r="Q203"/>
      <c r="R203"/>
      <c r="S203"/>
      <c r="T203"/>
      <c r="U203"/>
      <c r="V203"/>
      <c r="W203"/>
      <c r="X203"/>
      <c r="Y203"/>
      <c r="Z203"/>
      <c r="AA203"/>
      <c r="AB203"/>
      <c r="AC203"/>
      <c r="AD203"/>
      <c r="AE203"/>
      <c r="AF203"/>
      <c r="AG203"/>
      <c r="AH203"/>
      <c r="AI203"/>
      <c r="AJ203"/>
      <c r="AK203"/>
      <c r="AL203"/>
    </row>
    <row r="204" spans="13:38">
      <c r="M204"/>
      <c r="N204"/>
      <c r="O204"/>
      <c r="P204"/>
      <c r="Q204"/>
      <c r="R204"/>
      <c r="S204"/>
      <c r="T204"/>
      <c r="U204"/>
      <c r="V204"/>
      <c r="W204"/>
      <c r="X204"/>
      <c r="Y204"/>
      <c r="Z204"/>
      <c r="AA204"/>
      <c r="AB204"/>
      <c r="AC204"/>
      <c r="AD204"/>
      <c r="AE204"/>
      <c r="AF204"/>
      <c r="AG204"/>
      <c r="AH204"/>
      <c r="AI204"/>
      <c r="AJ204"/>
      <c r="AK204"/>
      <c r="AL204"/>
    </row>
    <row r="205" spans="13:38">
      <c r="M205"/>
      <c r="N205"/>
      <c r="O205"/>
      <c r="P205"/>
      <c r="Q205"/>
      <c r="R205"/>
      <c r="S205"/>
      <c r="T205"/>
      <c r="U205"/>
      <c r="V205"/>
      <c r="W205"/>
      <c r="X205"/>
      <c r="Y205"/>
      <c r="Z205"/>
      <c r="AA205"/>
      <c r="AB205"/>
      <c r="AC205"/>
      <c r="AD205"/>
      <c r="AE205"/>
      <c r="AF205"/>
      <c r="AG205"/>
      <c r="AH205"/>
      <c r="AI205"/>
      <c r="AJ205"/>
      <c r="AK205"/>
      <c r="AL205"/>
    </row>
    <row r="206" spans="13:38">
      <c r="M206"/>
      <c r="N206"/>
      <c r="O206"/>
      <c r="P206"/>
      <c r="Q206"/>
      <c r="R206"/>
      <c r="S206"/>
      <c r="T206"/>
      <c r="U206"/>
      <c r="V206"/>
      <c r="W206"/>
      <c r="X206"/>
      <c r="Y206"/>
      <c r="Z206"/>
      <c r="AA206"/>
      <c r="AB206"/>
      <c r="AC206"/>
      <c r="AD206"/>
      <c r="AE206"/>
      <c r="AF206"/>
      <c r="AG206"/>
      <c r="AH206"/>
      <c r="AI206"/>
      <c r="AJ206"/>
      <c r="AK206"/>
      <c r="AL206"/>
    </row>
    <row r="207" spans="13:38">
      <c r="M207"/>
      <c r="N207"/>
      <c r="O207"/>
      <c r="P207"/>
      <c r="Q207"/>
      <c r="R207"/>
      <c r="S207"/>
      <c r="T207"/>
      <c r="U207"/>
      <c r="V207"/>
      <c r="W207"/>
      <c r="X207"/>
      <c r="Y207"/>
      <c r="Z207"/>
      <c r="AA207"/>
      <c r="AB207"/>
      <c r="AC207"/>
      <c r="AD207"/>
      <c r="AE207"/>
      <c r="AF207"/>
      <c r="AG207"/>
      <c r="AH207"/>
      <c r="AI207"/>
      <c r="AJ207"/>
      <c r="AK207"/>
      <c r="AL207"/>
    </row>
    <row r="208" spans="13:38">
      <c r="M208"/>
      <c r="N208"/>
      <c r="O208"/>
      <c r="P208"/>
      <c r="Q208"/>
      <c r="R208"/>
      <c r="S208"/>
      <c r="T208"/>
      <c r="U208"/>
      <c r="V208"/>
      <c r="W208"/>
      <c r="X208"/>
      <c r="Y208"/>
      <c r="Z208"/>
      <c r="AA208"/>
      <c r="AB208"/>
      <c r="AC208"/>
      <c r="AD208"/>
      <c r="AE208"/>
      <c r="AF208"/>
      <c r="AG208"/>
      <c r="AH208"/>
      <c r="AI208"/>
      <c r="AJ208"/>
      <c r="AK208"/>
      <c r="AL208"/>
    </row>
    <row r="209" spans="13:38">
      <c r="M209"/>
      <c r="N209"/>
      <c r="O209"/>
      <c r="P209"/>
      <c r="Q209"/>
      <c r="R209"/>
      <c r="S209"/>
      <c r="T209"/>
      <c r="U209"/>
      <c r="V209"/>
      <c r="W209"/>
      <c r="X209"/>
      <c r="Y209"/>
      <c r="Z209"/>
      <c r="AA209"/>
      <c r="AB209"/>
      <c r="AC209"/>
      <c r="AD209"/>
      <c r="AE209"/>
      <c r="AF209"/>
      <c r="AG209"/>
      <c r="AH209"/>
      <c r="AI209"/>
      <c r="AJ209"/>
      <c r="AK209"/>
      <c r="AL209"/>
    </row>
    <row r="210" spans="13:38">
      <c r="M210"/>
      <c r="N210"/>
      <c r="O210"/>
      <c r="P210"/>
      <c r="Q210"/>
      <c r="R210"/>
      <c r="S210"/>
      <c r="T210"/>
      <c r="U210"/>
      <c r="V210"/>
      <c r="W210"/>
      <c r="X210"/>
      <c r="Y210"/>
      <c r="Z210"/>
      <c r="AA210"/>
      <c r="AB210"/>
      <c r="AC210"/>
      <c r="AD210"/>
      <c r="AE210"/>
      <c r="AF210"/>
      <c r="AG210"/>
      <c r="AH210"/>
      <c r="AI210"/>
      <c r="AJ210"/>
      <c r="AK210"/>
      <c r="AL210"/>
    </row>
    <row r="211" spans="13:38">
      <c r="M211"/>
      <c r="N211"/>
      <c r="O211"/>
      <c r="P211"/>
      <c r="Q211"/>
      <c r="R211"/>
      <c r="S211"/>
      <c r="T211"/>
      <c r="U211"/>
      <c r="V211"/>
      <c r="W211"/>
      <c r="X211"/>
      <c r="Y211"/>
      <c r="Z211"/>
      <c r="AA211"/>
      <c r="AB211"/>
      <c r="AC211"/>
      <c r="AD211"/>
      <c r="AE211"/>
      <c r="AF211"/>
      <c r="AG211"/>
      <c r="AH211"/>
      <c r="AI211"/>
      <c r="AJ211"/>
      <c r="AK211"/>
      <c r="AL211"/>
    </row>
    <row r="212" spans="13:38">
      <c r="M212"/>
      <c r="N212"/>
      <c r="O212"/>
      <c r="P212"/>
      <c r="Q212"/>
      <c r="R212"/>
      <c r="S212"/>
      <c r="T212"/>
      <c r="U212"/>
      <c r="V212"/>
      <c r="W212"/>
      <c r="X212"/>
      <c r="Y212"/>
      <c r="Z212"/>
      <c r="AA212"/>
      <c r="AB212"/>
      <c r="AC212"/>
      <c r="AD212"/>
      <c r="AE212"/>
      <c r="AF212"/>
      <c r="AG212"/>
      <c r="AH212"/>
      <c r="AI212"/>
      <c r="AJ212"/>
      <c r="AK212"/>
      <c r="AL212"/>
    </row>
    <row r="213" spans="13:38">
      <c r="M213"/>
      <c r="N213"/>
      <c r="O213"/>
      <c r="P213"/>
      <c r="Q213"/>
      <c r="R213"/>
      <c r="S213"/>
      <c r="T213"/>
      <c r="U213"/>
      <c r="V213"/>
      <c r="W213"/>
      <c r="X213"/>
      <c r="Y213"/>
      <c r="Z213"/>
      <c r="AA213"/>
      <c r="AB213"/>
      <c r="AC213"/>
      <c r="AD213"/>
      <c r="AE213"/>
      <c r="AF213"/>
      <c r="AG213"/>
      <c r="AH213"/>
      <c r="AI213"/>
      <c r="AJ213"/>
      <c r="AK213"/>
      <c r="AL213"/>
    </row>
    <row r="214" spans="13:38">
      <c r="M214"/>
      <c r="N214"/>
      <c r="O214"/>
      <c r="P214"/>
      <c r="Q214"/>
      <c r="R214"/>
      <c r="S214"/>
      <c r="T214"/>
      <c r="U214"/>
      <c r="V214"/>
      <c r="W214"/>
      <c r="X214"/>
      <c r="Y214"/>
      <c r="Z214"/>
      <c r="AA214"/>
      <c r="AB214"/>
      <c r="AC214"/>
      <c r="AD214"/>
      <c r="AE214"/>
      <c r="AF214"/>
      <c r="AG214"/>
      <c r="AH214"/>
      <c r="AI214"/>
      <c r="AJ214"/>
      <c r="AK214"/>
      <c r="AL214"/>
    </row>
    <row r="215" spans="13:38">
      <c r="M215"/>
      <c r="N215"/>
      <c r="O215"/>
      <c r="P215"/>
      <c r="Q215"/>
      <c r="R215"/>
      <c r="S215"/>
      <c r="T215"/>
      <c r="U215"/>
      <c r="V215"/>
      <c r="W215"/>
      <c r="X215"/>
      <c r="Y215"/>
      <c r="Z215"/>
      <c r="AA215"/>
      <c r="AB215"/>
      <c r="AC215"/>
      <c r="AD215"/>
      <c r="AE215"/>
      <c r="AF215"/>
      <c r="AG215"/>
      <c r="AH215"/>
      <c r="AI215"/>
      <c r="AJ215"/>
      <c r="AK215"/>
      <c r="AL215"/>
    </row>
    <row r="216" spans="13:38">
      <c r="M216"/>
      <c r="N216"/>
      <c r="O216"/>
      <c r="P216"/>
      <c r="Q216"/>
      <c r="R216"/>
      <c r="S216"/>
      <c r="T216"/>
      <c r="U216"/>
      <c r="V216"/>
      <c r="W216"/>
      <c r="X216"/>
      <c r="Y216"/>
      <c r="Z216"/>
      <c r="AA216"/>
      <c r="AB216"/>
      <c r="AC216"/>
      <c r="AD216"/>
      <c r="AE216"/>
      <c r="AF216"/>
      <c r="AG216"/>
      <c r="AH216"/>
      <c r="AI216"/>
      <c r="AJ216"/>
      <c r="AK216"/>
      <c r="AL216"/>
    </row>
    <row r="217" spans="13:38">
      <c r="M217"/>
      <c r="N217"/>
      <c r="O217"/>
      <c r="P217"/>
      <c r="Q217"/>
      <c r="R217"/>
      <c r="S217"/>
      <c r="T217"/>
      <c r="U217"/>
      <c r="V217"/>
      <c r="W217"/>
      <c r="X217"/>
      <c r="Y217"/>
      <c r="Z217"/>
      <c r="AA217"/>
      <c r="AB217"/>
      <c r="AC217"/>
      <c r="AD217"/>
      <c r="AE217"/>
      <c r="AF217"/>
      <c r="AG217"/>
      <c r="AH217"/>
      <c r="AI217"/>
      <c r="AJ217"/>
      <c r="AK217"/>
      <c r="AL217"/>
    </row>
    <row r="218" spans="13:38">
      <c r="M218"/>
      <c r="N218"/>
      <c r="O218"/>
      <c r="P218"/>
      <c r="Q218"/>
      <c r="R218"/>
      <c r="S218"/>
      <c r="T218"/>
      <c r="U218"/>
      <c r="V218"/>
      <c r="W218"/>
      <c r="X218"/>
      <c r="Y218"/>
      <c r="Z218"/>
      <c r="AA218"/>
      <c r="AB218"/>
      <c r="AC218"/>
      <c r="AD218"/>
      <c r="AE218"/>
      <c r="AF218"/>
      <c r="AG218"/>
      <c r="AH218"/>
      <c r="AI218"/>
      <c r="AJ218"/>
      <c r="AK218"/>
      <c r="AL218"/>
    </row>
    <row r="219" spans="13:38">
      <c r="M219"/>
      <c r="N219"/>
      <c r="O219"/>
      <c r="P219"/>
      <c r="Q219"/>
      <c r="R219"/>
      <c r="S219"/>
      <c r="T219"/>
      <c r="U219"/>
      <c r="V219"/>
      <c r="W219"/>
      <c r="X219"/>
      <c r="Y219"/>
      <c r="Z219"/>
      <c r="AA219"/>
      <c r="AB219"/>
      <c r="AC219"/>
      <c r="AD219"/>
      <c r="AE219"/>
      <c r="AF219"/>
      <c r="AG219"/>
      <c r="AH219"/>
      <c r="AI219"/>
      <c r="AJ219"/>
      <c r="AK219"/>
      <c r="AL219"/>
    </row>
    <row r="220" spans="13:38">
      <c r="M220"/>
      <c r="N220"/>
      <c r="O220"/>
      <c r="P220"/>
      <c r="Q220"/>
      <c r="R220"/>
      <c r="S220"/>
      <c r="T220"/>
      <c r="U220"/>
      <c r="V220"/>
      <c r="W220"/>
      <c r="X220"/>
      <c r="Y220"/>
      <c r="Z220"/>
      <c r="AA220"/>
      <c r="AB220"/>
      <c r="AC220"/>
      <c r="AD220"/>
      <c r="AE220"/>
      <c r="AF220"/>
      <c r="AG220"/>
      <c r="AH220"/>
      <c r="AI220"/>
      <c r="AJ220"/>
      <c r="AK220"/>
      <c r="AL220"/>
    </row>
    <row r="221" spans="13:38">
      <c r="M221"/>
      <c r="N221"/>
      <c r="O221"/>
      <c r="P221"/>
      <c r="Q221"/>
      <c r="R221"/>
      <c r="S221"/>
      <c r="T221"/>
      <c r="U221"/>
      <c r="V221"/>
      <c r="W221"/>
      <c r="X221"/>
      <c r="Y221"/>
      <c r="Z221"/>
      <c r="AA221"/>
      <c r="AB221"/>
      <c r="AC221"/>
      <c r="AD221"/>
      <c r="AE221"/>
      <c r="AF221"/>
      <c r="AG221"/>
      <c r="AH221"/>
      <c r="AI221"/>
      <c r="AJ221"/>
      <c r="AK221"/>
      <c r="AL221"/>
    </row>
    <row r="222" spans="13:38">
      <c r="M222"/>
      <c r="N222"/>
      <c r="O222"/>
      <c r="P222"/>
      <c r="Q222"/>
      <c r="R222"/>
      <c r="S222"/>
      <c r="T222"/>
      <c r="U222"/>
      <c r="V222"/>
      <c r="W222"/>
      <c r="X222"/>
      <c r="Y222"/>
      <c r="Z222"/>
      <c r="AA222"/>
      <c r="AB222"/>
      <c r="AC222"/>
      <c r="AD222"/>
      <c r="AE222"/>
      <c r="AF222"/>
      <c r="AG222"/>
      <c r="AH222"/>
      <c r="AI222"/>
      <c r="AJ222"/>
      <c r="AK222"/>
      <c r="AL222"/>
    </row>
    <row r="223" spans="13:38">
      <c r="M223"/>
      <c r="N223"/>
      <c r="O223"/>
      <c r="P223"/>
      <c r="Q223"/>
      <c r="R223"/>
      <c r="S223"/>
      <c r="T223"/>
      <c r="U223"/>
      <c r="V223"/>
      <c r="W223"/>
      <c r="X223"/>
      <c r="Y223"/>
      <c r="Z223"/>
      <c r="AA223"/>
      <c r="AB223"/>
      <c r="AC223"/>
      <c r="AD223"/>
      <c r="AE223"/>
      <c r="AF223"/>
      <c r="AG223"/>
      <c r="AH223"/>
      <c r="AI223"/>
      <c r="AJ223"/>
      <c r="AK223"/>
      <c r="AL223"/>
    </row>
    <row r="224" spans="13:38">
      <c r="M224"/>
      <c r="N224"/>
      <c r="O224"/>
      <c r="P224"/>
      <c r="Q224"/>
      <c r="R224"/>
      <c r="S224"/>
      <c r="T224"/>
      <c r="U224"/>
      <c r="V224"/>
      <c r="W224"/>
      <c r="X224"/>
      <c r="Y224"/>
      <c r="Z224"/>
      <c r="AA224"/>
      <c r="AB224"/>
      <c r="AC224"/>
      <c r="AD224"/>
      <c r="AE224"/>
      <c r="AF224"/>
      <c r="AG224"/>
      <c r="AH224"/>
      <c r="AI224"/>
      <c r="AJ224"/>
      <c r="AK224"/>
      <c r="AL224"/>
    </row>
    <row r="225" spans="13:38">
      <c r="M225"/>
      <c r="N225"/>
      <c r="O225"/>
      <c r="P225"/>
      <c r="Q225"/>
      <c r="R225"/>
      <c r="S225"/>
      <c r="T225"/>
      <c r="U225"/>
      <c r="V225"/>
      <c r="W225"/>
      <c r="X225"/>
      <c r="Y225"/>
      <c r="Z225"/>
      <c r="AA225"/>
      <c r="AB225"/>
      <c r="AC225"/>
      <c r="AD225"/>
      <c r="AE225"/>
      <c r="AF225"/>
      <c r="AG225"/>
      <c r="AH225"/>
      <c r="AI225"/>
      <c r="AJ225"/>
      <c r="AK225"/>
      <c r="AL225"/>
    </row>
    <row r="226" spans="13:38">
      <c r="M226"/>
      <c r="N226"/>
      <c r="O226"/>
      <c r="P226"/>
      <c r="Q226"/>
      <c r="R226"/>
      <c r="S226"/>
      <c r="T226"/>
      <c r="U226"/>
      <c r="V226"/>
      <c r="W226"/>
      <c r="X226"/>
      <c r="Y226"/>
      <c r="Z226"/>
      <c r="AA226"/>
      <c r="AB226"/>
      <c r="AC226"/>
      <c r="AD226"/>
      <c r="AE226"/>
      <c r="AF226"/>
      <c r="AG226"/>
      <c r="AH226"/>
      <c r="AI226"/>
      <c r="AJ226"/>
      <c r="AK226"/>
      <c r="AL226"/>
    </row>
    <row r="227" spans="13:38">
      <c r="M227"/>
      <c r="N227"/>
      <c r="O227"/>
      <c r="P227"/>
      <c r="Q227"/>
      <c r="R227"/>
      <c r="S227"/>
      <c r="T227"/>
      <c r="U227"/>
      <c r="V227"/>
      <c r="W227"/>
      <c r="X227"/>
      <c r="Y227"/>
      <c r="Z227"/>
      <c r="AA227"/>
      <c r="AB227"/>
      <c r="AC227"/>
      <c r="AD227"/>
      <c r="AE227"/>
      <c r="AF227"/>
      <c r="AG227"/>
      <c r="AH227"/>
      <c r="AI227"/>
      <c r="AJ227"/>
      <c r="AK227"/>
      <c r="AL227"/>
    </row>
    <row r="228" spans="13:38">
      <c r="M228"/>
      <c r="N228"/>
      <c r="O228"/>
      <c r="P228"/>
      <c r="Q228"/>
      <c r="R228"/>
      <c r="S228"/>
      <c r="T228"/>
      <c r="U228"/>
      <c r="V228"/>
      <c r="W228"/>
      <c r="X228"/>
      <c r="Y228"/>
      <c r="Z228"/>
      <c r="AA228"/>
      <c r="AB228"/>
      <c r="AC228"/>
      <c r="AD228"/>
      <c r="AE228"/>
      <c r="AF228"/>
      <c r="AG228"/>
      <c r="AH228"/>
      <c r="AI228"/>
      <c r="AJ228"/>
      <c r="AK228"/>
      <c r="AL228"/>
    </row>
    <row r="229" spans="13:38">
      <c r="M229"/>
      <c r="N229"/>
      <c r="O229"/>
      <c r="P229"/>
      <c r="Q229"/>
      <c r="R229"/>
      <c r="S229"/>
      <c r="T229"/>
      <c r="U229"/>
      <c r="V229"/>
      <c r="W229"/>
      <c r="X229"/>
      <c r="Y229"/>
      <c r="Z229"/>
      <c r="AA229"/>
      <c r="AB229"/>
      <c r="AC229"/>
      <c r="AD229"/>
      <c r="AE229"/>
      <c r="AF229"/>
      <c r="AG229"/>
      <c r="AH229"/>
      <c r="AI229"/>
      <c r="AJ229"/>
      <c r="AK229"/>
      <c r="AL229"/>
    </row>
    <row r="230" spans="13:38">
      <c r="M230"/>
      <c r="N230"/>
      <c r="O230"/>
      <c r="P230"/>
      <c r="Q230"/>
      <c r="R230"/>
      <c r="S230"/>
      <c r="T230"/>
      <c r="U230"/>
      <c r="V230"/>
      <c r="W230"/>
      <c r="X230"/>
      <c r="Y230"/>
      <c r="Z230"/>
      <c r="AA230"/>
      <c r="AB230"/>
      <c r="AC230"/>
      <c r="AD230"/>
      <c r="AE230"/>
      <c r="AF230"/>
      <c r="AG230"/>
      <c r="AH230"/>
      <c r="AI230"/>
      <c r="AJ230"/>
      <c r="AK230"/>
      <c r="AL230"/>
    </row>
    <row r="231" spans="13:38">
      <c r="M231"/>
      <c r="N231"/>
      <c r="O231"/>
      <c r="P231"/>
      <c r="Q231"/>
      <c r="R231"/>
      <c r="S231"/>
      <c r="T231"/>
      <c r="U231"/>
      <c r="V231"/>
      <c r="W231"/>
      <c r="X231"/>
      <c r="Y231"/>
      <c r="Z231"/>
      <c r="AA231"/>
      <c r="AB231"/>
      <c r="AC231"/>
      <c r="AD231"/>
      <c r="AE231"/>
      <c r="AF231"/>
      <c r="AG231"/>
      <c r="AH231"/>
      <c r="AI231"/>
      <c r="AJ231"/>
      <c r="AK231"/>
      <c r="AL231"/>
    </row>
    <row r="232" spans="13:38">
      <c r="M232"/>
      <c r="N232"/>
      <c r="O232"/>
      <c r="P232"/>
      <c r="Q232"/>
      <c r="R232"/>
      <c r="S232"/>
      <c r="T232"/>
      <c r="U232"/>
      <c r="V232"/>
      <c r="W232"/>
      <c r="X232"/>
      <c r="Y232"/>
      <c r="Z232"/>
      <c r="AA232"/>
      <c r="AB232"/>
      <c r="AC232"/>
      <c r="AD232"/>
      <c r="AE232"/>
      <c r="AF232"/>
      <c r="AG232"/>
      <c r="AH232"/>
      <c r="AI232"/>
      <c r="AJ232"/>
      <c r="AK232"/>
      <c r="AL232"/>
    </row>
    <row r="233" spans="13:38">
      <c r="M233"/>
      <c r="N233"/>
      <c r="O233"/>
      <c r="P233"/>
      <c r="Q233"/>
      <c r="R233"/>
      <c r="S233"/>
      <c r="T233"/>
      <c r="U233"/>
      <c r="V233"/>
      <c r="W233"/>
      <c r="X233"/>
      <c r="Y233"/>
      <c r="Z233"/>
      <c r="AA233"/>
      <c r="AB233"/>
      <c r="AC233"/>
      <c r="AD233"/>
      <c r="AE233"/>
      <c r="AF233"/>
      <c r="AG233"/>
      <c r="AH233"/>
      <c r="AI233"/>
      <c r="AJ233"/>
      <c r="AK233"/>
      <c r="AL233"/>
    </row>
    <row r="234" spans="13:38">
      <c r="M234"/>
      <c r="N234"/>
      <c r="O234"/>
      <c r="P234"/>
      <c r="Q234"/>
      <c r="R234"/>
      <c r="S234"/>
      <c r="T234"/>
      <c r="U234"/>
      <c r="V234"/>
      <c r="W234"/>
      <c r="X234"/>
      <c r="Y234"/>
      <c r="Z234"/>
      <c r="AA234"/>
      <c r="AB234"/>
      <c r="AC234"/>
      <c r="AD234"/>
      <c r="AE234"/>
      <c r="AF234"/>
      <c r="AG234"/>
      <c r="AH234"/>
      <c r="AI234"/>
      <c r="AJ234"/>
      <c r="AK234"/>
      <c r="AL234"/>
    </row>
    <row r="235" spans="13:38">
      <c r="M235"/>
      <c r="N235"/>
      <c r="O235"/>
      <c r="P235"/>
      <c r="Q235"/>
      <c r="R235"/>
      <c r="S235"/>
      <c r="T235"/>
      <c r="U235"/>
      <c r="V235"/>
      <c r="W235"/>
      <c r="X235"/>
      <c r="Y235"/>
      <c r="Z235"/>
      <c r="AA235"/>
      <c r="AB235"/>
      <c r="AC235"/>
      <c r="AD235"/>
      <c r="AE235"/>
      <c r="AF235"/>
      <c r="AG235"/>
      <c r="AH235"/>
      <c r="AI235"/>
      <c r="AJ235"/>
      <c r="AK235"/>
      <c r="AL235"/>
    </row>
    <row r="236" spans="13:38">
      <c r="M236"/>
      <c r="N236"/>
      <c r="O236"/>
      <c r="P236"/>
      <c r="Q236"/>
      <c r="R236"/>
      <c r="S236"/>
      <c r="T236"/>
      <c r="U236"/>
      <c r="V236"/>
      <c r="W236"/>
      <c r="X236"/>
      <c r="Y236"/>
      <c r="Z236"/>
      <c r="AA236"/>
      <c r="AB236"/>
      <c r="AC236"/>
      <c r="AD236"/>
      <c r="AE236"/>
      <c r="AF236"/>
      <c r="AG236"/>
      <c r="AH236"/>
      <c r="AI236"/>
      <c r="AJ236"/>
      <c r="AK236"/>
      <c r="AL236"/>
    </row>
    <row r="237" spans="13:38">
      <c r="M237"/>
      <c r="N237"/>
      <c r="O237"/>
      <c r="P237"/>
      <c r="Q237"/>
      <c r="R237"/>
      <c r="S237"/>
      <c r="T237"/>
      <c r="U237"/>
      <c r="V237"/>
      <c r="W237"/>
      <c r="X237"/>
      <c r="Y237"/>
      <c r="Z237"/>
      <c r="AA237"/>
      <c r="AB237"/>
      <c r="AC237"/>
      <c r="AD237"/>
      <c r="AE237"/>
      <c r="AF237"/>
      <c r="AG237"/>
      <c r="AH237"/>
      <c r="AI237"/>
      <c r="AJ237"/>
      <c r="AK237"/>
      <c r="AL237"/>
    </row>
    <row r="238" spans="13:38">
      <c r="M238"/>
      <c r="N238"/>
      <c r="O238"/>
      <c r="P238"/>
      <c r="Q238"/>
      <c r="R238"/>
      <c r="S238"/>
      <c r="T238"/>
      <c r="U238"/>
      <c r="V238"/>
      <c r="W238"/>
      <c r="X238"/>
      <c r="Y238"/>
      <c r="Z238"/>
      <c r="AA238"/>
      <c r="AB238"/>
      <c r="AC238"/>
      <c r="AD238"/>
      <c r="AE238"/>
      <c r="AF238"/>
      <c r="AG238"/>
      <c r="AH238"/>
      <c r="AI238"/>
      <c r="AJ238"/>
      <c r="AK238"/>
      <c r="AL238"/>
    </row>
    <row r="239" spans="13:38">
      <c r="M239"/>
      <c r="N239"/>
      <c r="O239"/>
      <c r="P239"/>
      <c r="Q239"/>
      <c r="R239"/>
      <c r="S239"/>
      <c r="T239"/>
      <c r="U239"/>
      <c r="V239"/>
      <c r="W239"/>
      <c r="X239"/>
      <c r="Y239"/>
      <c r="Z239"/>
      <c r="AA239"/>
      <c r="AB239"/>
      <c r="AC239"/>
      <c r="AD239"/>
      <c r="AE239"/>
      <c r="AF239"/>
      <c r="AG239"/>
      <c r="AH239"/>
      <c r="AI239"/>
      <c r="AJ239"/>
      <c r="AK239"/>
      <c r="AL239"/>
    </row>
    <row r="240" spans="13:38">
      <c r="M240"/>
      <c r="N240"/>
      <c r="O240"/>
      <c r="P240"/>
      <c r="Q240"/>
      <c r="R240"/>
      <c r="S240"/>
      <c r="T240"/>
      <c r="U240"/>
      <c r="V240"/>
      <c r="W240"/>
      <c r="X240"/>
      <c r="Y240"/>
      <c r="Z240"/>
      <c r="AA240"/>
      <c r="AB240"/>
      <c r="AC240"/>
      <c r="AD240"/>
      <c r="AE240"/>
      <c r="AF240"/>
      <c r="AG240"/>
      <c r="AH240"/>
      <c r="AI240"/>
      <c r="AJ240"/>
      <c r="AK240"/>
      <c r="AL240"/>
    </row>
    <row r="241" spans="13:38">
      <c r="M241"/>
      <c r="N241"/>
      <c r="O241"/>
      <c r="P241"/>
      <c r="Q241"/>
      <c r="R241"/>
      <c r="S241"/>
      <c r="T241"/>
      <c r="U241"/>
      <c r="V241"/>
      <c r="W241"/>
      <c r="X241"/>
      <c r="Y241"/>
      <c r="Z241"/>
      <c r="AA241"/>
      <c r="AB241"/>
      <c r="AC241"/>
      <c r="AD241"/>
      <c r="AE241"/>
      <c r="AF241"/>
      <c r="AG241"/>
      <c r="AH241"/>
      <c r="AI241"/>
      <c r="AJ241"/>
      <c r="AK241"/>
      <c r="AL241"/>
    </row>
    <row r="242" spans="13:38">
      <c r="M242"/>
      <c r="N242"/>
      <c r="O242"/>
      <c r="P242"/>
      <c r="Q242"/>
      <c r="R242"/>
      <c r="S242"/>
      <c r="T242"/>
      <c r="U242"/>
      <c r="V242"/>
      <c r="W242"/>
      <c r="X242"/>
      <c r="Y242"/>
      <c r="Z242"/>
      <c r="AA242"/>
      <c r="AB242"/>
      <c r="AC242"/>
      <c r="AD242"/>
      <c r="AE242"/>
      <c r="AF242"/>
      <c r="AG242"/>
      <c r="AH242"/>
      <c r="AI242"/>
      <c r="AJ242"/>
      <c r="AK242"/>
      <c r="AL242"/>
    </row>
    <row r="243" spans="13:38">
      <c r="M243"/>
      <c r="N243"/>
      <c r="O243"/>
      <c r="P243"/>
      <c r="Q243"/>
      <c r="R243"/>
      <c r="S243"/>
      <c r="T243"/>
      <c r="U243"/>
      <c r="V243"/>
      <c r="W243"/>
      <c r="X243"/>
      <c r="Y243"/>
      <c r="Z243"/>
      <c r="AA243"/>
      <c r="AB243"/>
      <c r="AC243"/>
      <c r="AD243"/>
      <c r="AE243"/>
      <c r="AF243"/>
      <c r="AG243"/>
      <c r="AH243"/>
      <c r="AI243"/>
      <c r="AJ243"/>
      <c r="AK243"/>
      <c r="AL243"/>
    </row>
    <row r="244" spans="13:38">
      <c r="M244"/>
      <c r="N244"/>
      <c r="O244"/>
      <c r="P244"/>
      <c r="Q244"/>
      <c r="R244"/>
      <c r="S244"/>
      <c r="T244"/>
      <c r="U244"/>
      <c r="V244"/>
      <c r="W244"/>
      <c r="X244"/>
      <c r="Y244"/>
      <c r="Z244"/>
      <c r="AA244"/>
      <c r="AB244"/>
      <c r="AC244"/>
      <c r="AD244"/>
      <c r="AE244"/>
      <c r="AF244"/>
      <c r="AG244"/>
      <c r="AH244"/>
      <c r="AI244"/>
      <c r="AJ244"/>
      <c r="AK244"/>
      <c r="AL244"/>
    </row>
    <row r="245" spans="13:38">
      <c r="M245"/>
      <c r="N245"/>
      <c r="O245"/>
      <c r="P245"/>
      <c r="Q245"/>
      <c r="R245"/>
      <c r="S245"/>
      <c r="T245"/>
      <c r="U245"/>
      <c r="V245"/>
      <c r="W245"/>
      <c r="X245"/>
      <c r="Y245"/>
      <c r="Z245"/>
      <c r="AA245"/>
      <c r="AB245"/>
      <c r="AC245"/>
      <c r="AD245"/>
      <c r="AE245"/>
      <c r="AF245"/>
      <c r="AG245"/>
      <c r="AH245"/>
      <c r="AI245"/>
      <c r="AJ245"/>
      <c r="AK245"/>
      <c r="AL245"/>
    </row>
    <row r="246" spans="13:38">
      <c r="M246"/>
      <c r="N246"/>
      <c r="O246"/>
      <c r="P246"/>
      <c r="Q246"/>
      <c r="R246"/>
      <c r="S246"/>
      <c r="T246"/>
      <c r="U246"/>
      <c r="V246"/>
      <c r="W246"/>
      <c r="X246"/>
      <c r="Y246"/>
      <c r="Z246"/>
      <c r="AA246"/>
      <c r="AB246"/>
      <c r="AC246"/>
      <c r="AD246"/>
      <c r="AE246"/>
      <c r="AF246"/>
      <c r="AG246"/>
      <c r="AH246"/>
      <c r="AI246"/>
      <c r="AJ246"/>
      <c r="AK246"/>
      <c r="AL246"/>
    </row>
    <row r="247" spans="13:38">
      <c r="M247"/>
      <c r="N247"/>
      <c r="O247"/>
      <c r="P247"/>
      <c r="Q247"/>
      <c r="R247"/>
      <c r="S247"/>
      <c r="T247"/>
      <c r="U247"/>
      <c r="V247"/>
      <c r="W247"/>
      <c r="X247"/>
      <c r="Y247"/>
      <c r="Z247"/>
      <c r="AA247"/>
      <c r="AB247"/>
      <c r="AC247"/>
      <c r="AD247"/>
      <c r="AE247"/>
      <c r="AF247"/>
      <c r="AG247"/>
      <c r="AH247"/>
      <c r="AI247"/>
      <c r="AJ247"/>
      <c r="AK247"/>
      <c r="AL247"/>
    </row>
    <row r="248" spans="13:38">
      <c r="M248"/>
      <c r="N248"/>
      <c r="O248"/>
      <c r="P248"/>
      <c r="Q248"/>
      <c r="R248"/>
      <c r="S248"/>
      <c r="T248"/>
      <c r="U248"/>
      <c r="V248"/>
      <c r="W248"/>
      <c r="X248"/>
      <c r="Y248"/>
      <c r="Z248"/>
      <c r="AA248"/>
      <c r="AB248"/>
      <c r="AC248"/>
      <c r="AD248"/>
      <c r="AE248"/>
      <c r="AF248"/>
      <c r="AG248"/>
      <c r="AH248"/>
      <c r="AI248"/>
      <c r="AJ248"/>
      <c r="AK248"/>
      <c r="AL248"/>
    </row>
    <row r="249" spans="13:38">
      <c r="M249"/>
      <c r="N249"/>
      <c r="O249"/>
      <c r="P249"/>
      <c r="Q249"/>
      <c r="R249"/>
      <c r="S249"/>
      <c r="T249"/>
      <c r="U249"/>
      <c r="V249"/>
      <c r="W249"/>
      <c r="X249"/>
      <c r="Y249"/>
      <c r="Z249"/>
      <c r="AA249"/>
      <c r="AB249"/>
      <c r="AC249"/>
      <c r="AD249"/>
      <c r="AE249"/>
      <c r="AF249"/>
      <c r="AG249"/>
      <c r="AH249"/>
      <c r="AI249"/>
      <c r="AJ249"/>
      <c r="AK249"/>
      <c r="AL249"/>
    </row>
    <row r="250" spans="13:38">
      <c r="M250"/>
      <c r="N250"/>
      <c r="O250"/>
      <c r="P250"/>
      <c r="Q250"/>
      <c r="R250"/>
      <c r="S250"/>
      <c r="T250"/>
      <c r="U250"/>
      <c r="V250"/>
      <c r="W250"/>
      <c r="X250"/>
      <c r="Y250"/>
      <c r="Z250"/>
      <c r="AA250"/>
      <c r="AB250"/>
      <c r="AC250"/>
      <c r="AD250"/>
      <c r="AE250"/>
      <c r="AF250"/>
      <c r="AG250"/>
      <c r="AH250"/>
      <c r="AI250"/>
      <c r="AJ250"/>
      <c r="AK250"/>
      <c r="AL250"/>
    </row>
    <row r="251" spans="13:38">
      <c r="M251"/>
      <c r="N251"/>
      <c r="O251"/>
      <c r="P251"/>
      <c r="Q251"/>
      <c r="R251"/>
      <c r="S251"/>
      <c r="T251"/>
      <c r="U251"/>
      <c r="V251"/>
      <c r="W251"/>
      <c r="X251"/>
      <c r="Y251"/>
      <c r="Z251"/>
      <c r="AA251"/>
      <c r="AB251"/>
      <c r="AC251"/>
      <c r="AD251"/>
      <c r="AE251"/>
      <c r="AF251"/>
      <c r="AG251"/>
      <c r="AH251"/>
      <c r="AI251"/>
      <c r="AJ251"/>
      <c r="AK251"/>
      <c r="AL251"/>
    </row>
    <row r="252" spans="13:38">
      <c r="M252"/>
      <c r="N252"/>
      <c r="O252"/>
      <c r="P252"/>
      <c r="Q252"/>
      <c r="R252"/>
      <c r="S252"/>
      <c r="T252"/>
      <c r="U252"/>
      <c r="V252"/>
      <c r="W252"/>
      <c r="X252"/>
      <c r="Y252"/>
      <c r="Z252"/>
      <c r="AA252"/>
      <c r="AB252"/>
      <c r="AC252"/>
      <c r="AD252"/>
      <c r="AE252"/>
      <c r="AF252"/>
      <c r="AG252"/>
      <c r="AH252"/>
      <c r="AI252"/>
      <c r="AJ252"/>
      <c r="AK252"/>
      <c r="AL252"/>
    </row>
    <row r="253" spans="13:38">
      <c r="M253"/>
      <c r="N253"/>
      <c r="O253"/>
      <c r="P253"/>
      <c r="Q253"/>
      <c r="R253"/>
      <c r="S253"/>
      <c r="T253"/>
      <c r="U253"/>
      <c r="V253"/>
      <c r="W253"/>
      <c r="X253"/>
      <c r="Y253"/>
      <c r="Z253"/>
      <c r="AA253"/>
      <c r="AB253"/>
      <c r="AC253"/>
      <c r="AD253"/>
      <c r="AE253"/>
      <c r="AF253"/>
      <c r="AG253"/>
      <c r="AH253"/>
      <c r="AI253"/>
      <c r="AJ253"/>
      <c r="AK253"/>
      <c r="AL253"/>
    </row>
    <row r="254" spans="13:38">
      <c r="M254"/>
      <c r="N254"/>
      <c r="O254"/>
      <c r="P254"/>
      <c r="Q254"/>
      <c r="R254"/>
      <c r="S254"/>
      <c r="T254"/>
      <c r="U254"/>
      <c r="V254"/>
      <c r="W254"/>
      <c r="X254"/>
      <c r="Y254"/>
      <c r="Z254"/>
      <c r="AA254"/>
      <c r="AB254"/>
      <c r="AC254"/>
      <c r="AD254"/>
      <c r="AE254"/>
      <c r="AF254"/>
      <c r="AG254"/>
      <c r="AH254"/>
      <c r="AI254"/>
      <c r="AJ254"/>
      <c r="AK254"/>
      <c r="AL254"/>
    </row>
    <row r="255" spans="13:38">
      <c r="M255"/>
      <c r="N255"/>
      <c r="O255"/>
      <c r="P255"/>
      <c r="Q255"/>
      <c r="R255"/>
      <c r="S255"/>
      <c r="T255"/>
      <c r="U255"/>
      <c r="V255"/>
      <c r="W255"/>
      <c r="X255"/>
      <c r="Y255"/>
      <c r="Z255"/>
      <c r="AA255"/>
      <c r="AB255"/>
      <c r="AC255"/>
      <c r="AD255"/>
      <c r="AE255"/>
      <c r="AF255"/>
      <c r="AG255"/>
      <c r="AH255"/>
      <c r="AI255"/>
      <c r="AJ255"/>
      <c r="AK255"/>
      <c r="AL255"/>
    </row>
    <row r="256" spans="13:38">
      <c r="M256"/>
      <c r="N256"/>
      <c r="O256"/>
      <c r="P256"/>
      <c r="Q256"/>
      <c r="R256"/>
      <c r="S256"/>
      <c r="T256"/>
      <c r="U256"/>
      <c r="V256"/>
      <c r="W256"/>
      <c r="X256"/>
      <c r="Y256"/>
      <c r="Z256"/>
      <c r="AA256"/>
      <c r="AB256"/>
      <c r="AC256"/>
      <c r="AD256"/>
      <c r="AE256"/>
      <c r="AF256"/>
      <c r="AG256"/>
      <c r="AH256"/>
      <c r="AI256"/>
      <c r="AJ256"/>
      <c r="AK256"/>
      <c r="AL256"/>
    </row>
    <row r="257" spans="13:38">
      <c r="M257"/>
      <c r="N257"/>
      <c r="O257"/>
      <c r="P257"/>
      <c r="Q257"/>
      <c r="R257"/>
      <c r="S257"/>
      <c r="T257"/>
      <c r="U257"/>
      <c r="V257"/>
      <c r="W257"/>
      <c r="X257"/>
      <c r="Y257"/>
      <c r="Z257"/>
      <c r="AA257"/>
      <c r="AB257"/>
      <c r="AC257"/>
      <c r="AD257"/>
      <c r="AE257"/>
      <c r="AF257"/>
      <c r="AG257"/>
      <c r="AH257"/>
      <c r="AI257"/>
      <c r="AJ257"/>
      <c r="AK257"/>
      <c r="AL257"/>
    </row>
    <row r="258" spans="13:38">
      <c r="M258"/>
      <c r="N258"/>
      <c r="O258"/>
      <c r="P258"/>
      <c r="Q258"/>
      <c r="R258"/>
      <c r="S258"/>
      <c r="T258"/>
      <c r="U258"/>
      <c r="V258"/>
      <c r="W258"/>
      <c r="X258"/>
      <c r="Y258"/>
      <c r="Z258"/>
      <c r="AA258"/>
      <c r="AB258"/>
      <c r="AC258"/>
      <c r="AD258"/>
      <c r="AE258"/>
      <c r="AF258"/>
      <c r="AG258"/>
      <c r="AH258"/>
      <c r="AI258"/>
      <c r="AJ258"/>
      <c r="AK258"/>
      <c r="AL258"/>
    </row>
    <row r="259" spans="13:38">
      <c r="M259"/>
      <c r="N259"/>
      <c r="O259"/>
      <c r="P259"/>
      <c r="Q259"/>
      <c r="R259"/>
      <c r="S259"/>
      <c r="T259"/>
      <c r="U259"/>
      <c r="V259"/>
      <c r="W259"/>
      <c r="X259"/>
      <c r="Y259"/>
      <c r="Z259"/>
      <c r="AA259"/>
      <c r="AB259"/>
      <c r="AC259"/>
      <c r="AD259"/>
      <c r="AE259"/>
      <c r="AF259"/>
      <c r="AG259"/>
      <c r="AH259"/>
      <c r="AI259"/>
      <c r="AJ259"/>
      <c r="AK259"/>
      <c r="AL259"/>
    </row>
    <row r="260" spans="13:38">
      <c r="M260"/>
      <c r="N260"/>
      <c r="O260"/>
      <c r="P260"/>
      <c r="Q260"/>
      <c r="R260"/>
      <c r="S260"/>
      <c r="T260"/>
      <c r="U260"/>
      <c r="V260"/>
      <c r="W260"/>
      <c r="X260"/>
      <c r="Y260"/>
      <c r="Z260"/>
      <c r="AA260"/>
      <c r="AB260"/>
      <c r="AC260"/>
      <c r="AD260"/>
      <c r="AE260"/>
      <c r="AF260"/>
      <c r="AG260"/>
      <c r="AH260"/>
      <c r="AI260"/>
      <c r="AJ260"/>
      <c r="AK260"/>
      <c r="AL260"/>
    </row>
    <row r="261" spans="13:38">
      <c r="M261"/>
      <c r="N261"/>
      <c r="O261"/>
      <c r="P261"/>
      <c r="Q261"/>
      <c r="R261"/>
      <c r="S261"/>
      <c r="T261"/>
      <c r="U261"/>
      <c r="V261"/>
      <c r="W261"/>
      <c r="X261"/>
      <c r="Y261"/>
      <c r="Z261"/>
      <c r="AA261"/>
      <c r="AB261"/>
      <c r="AC261"/>
      <c r="AD261"/>
      <c r="AE261"/>
      <c r="AF261"/>
      <c r="AG261"/>
      <c r="AH261"/>
      <c r="AI261"/>
      <c r="AJ261"/>
      <c r="AK261"/>
      <c r="AL261"/>
    </row>
    <row r="262" spans="13:38">
      <c r="M262"/>
      <c r="N262"/>
      <c r="O262"/>
      <c r="P262"/>
      <c r="Q262"/>
      <c r="R262"/>
      <c r="S262"/>
      <c r="T262"/>
      <c r="U262"/>
      <c r="V262"/>
      <c r="W262"/>
      <c r="X262"/>
      <c r="Y262"/>
      <c r="Z262"/>
      <c r="AA262"/>
      <c r="AB262"/>
      <c r="AC262"/>
      <c r="AD262"/>
      <c r="AE262"/>
      <c r="AF262"/>
      <c r="AG262"/>
      <c r="AH262"/>
      <c r="AI262"/>
      <c r="AJ262"/>
      <c r="AK262"/>
      <c r="AL262"/>
    </row>
    <row r="263" spans="13:38">
      <c r="M263"/>
      <c r="N263"/>
      <c r="O263"/>
      <c r="P263"/>
      <c r="Q263"/>
      <c r="R263"/>
      <c r="S263"/>
      <c r="T263"/>
      <c r="U263"/>
      <c r="V263"/>
      <c r="W263"/>
      <c r="X263"/>
      <c r="Y263"/>
      <c r="Z263"/>
      <c r="AA263"/>
      <c r="AB263"/>
      <c r="AC263"/>
      <c r="AD263"/>
      <c r="AE263"/>
      <c r="AF263"/>
      <c r="AG263"/>
      <c r="AH263"/>
      <c r="AI263"/>
      <c r="AJ263"/>
      <c r="AK263"/>
      <c r="AL263"/>
    </row>
    <row r="264" spans="13:38">
      <c r="M264"/>
      <c r="N264"/>
      <c r="O264"/>
      <c r="P264"/>
      <c r="Q264"/>
      <c r="R264"/>
      <c r="S264"/>
      <c r="T264"/>
      <c r="U264"/>
      <c r="V264"/>
      <c r="W264"/>
      <c r="X264"/>
      <c r="Y264"/>
      <c r="Z264"/>
      <c r="AA264"/>
      <c r="AB264"/>
      <c r="AC264"/>
      <c r="AD264"/>
      <c r="AE264"/>
      <c r="AF264"/>
      <c r="AG264"/>
      <c r="AH264"/>
      <c r="AI264"/>
      <c r="AJ264"/>
      <c r="AK264"/>
      <c r="AL264"/>
    </row>
    <row r="265" spans="13:38">
      <c r="M265"/>
      <c r="N265"/>
      <c r="O265"/>
      <c r="P265"/>
      <c r="Q265"/>
      <c r="R265"/>
      <c r="S265"/>
      <c r="T265"/>
      <c r="U265"/>
      <c r="V265"/>
      <c r="W265"/>
      <c r="X265"/>
      <c r="Y265"/>
      <c r="Z265"/>
      <c r="AA265"/>
      <c r="AB265"/>
      <c r="AC265"/>
      <c r="AD265"/>
      <c r="AE265"/>
      <c r="AF265"/>
      <c r="AG265"/>
      <c r="AH265"/>
      <c r="AI265"/>
      <c r="AJ265"/>
      <c r="AK265"/>
      <c r="AL265"/>
    </row>
    <row r="266" spans="13:38">
      <c r="M266"/>
      <c r="N266"/>
      <c r="O266"/>
      <c r="P266"/>
      <c r="Q266"/>
      <c r="R266"/>
      <c r="S266"/>
      <c r="T266"/>
      <c r="U266"/>
      <c r="V266"/>
      <c r="W266"/>
      <c r="X266"/>
      <c r="Y266"/>
      <c r="Z266"/>
      <c r="AA266"/>
      <c r="AB266"/>
      <c r="AC266"/>
      <c r="AD266"/>
      <c r="AE266"/>
      <c r="AF266"/>
      <c r="AG266"/>
      <c r="AH266"/>
      <c r="AI266"/>
      <c r="AJ266"/>
      <c r="AK266"/>
      <c r="AL266"/>
    </row>
    <row r="267" spans="13:38">
      <c r="M267"/>
      <c r="N267"/>
      <c r="O267"/>
      <c r="P267"/>
      <c r="Q267"/>
      <c r="R267"/>
      <c r="S267"/>
      <c r="T267"/>
      <c r="U267"/>
      <c r="V267"/>
      <c r="W267"/>
      <c r="X267"/>
      <c r="Y267"/>
      <c r="Z267"/>
      <c r="AA267"/>
      <c r="AB267"/>
      <c r="AC267"/>
      <c r="AD267"/>
      <c r="AE267"/>
      <c r="AF267"/>
      <c r="AG267"/>
      <c r="AH267"/>
      <c r="AI267"/>
      <c r="AJ267"/>
      <c r="AK267"/>
      <c r="AL267"/>
    </row>
    <row r="268" spans="13:38">
      <c r="M268"/>
      <c r="N268"/>
      <c r="O268"/>
      <c r="P268"/>
      <c r="Q268"/>
      <c r="R268"/>
      <c r="S268"/>
      <c r="T268"/>
      <c r="U268"/>
      <c r="V268"/>
      <c r="W268"/>
      <c r="X268"/>
      <c r="Y268"/>
      <c r="Z268"/>
      <c r="AA268"/>
      <c r="AB268"/>
      <c r="AC268"/>
      <c r="AD268"/>
      <c r="AE268"/>
      <c r="AF268"/>
      <c r="AG268"/>
      <c r="AH268"/>
      <c r="AI268"/>
      <c r="AJ268"/>
      <c r="AK268"/>
      <c r="AL268"/>
    </row>
    <row r="269" spans="13:38">
      <c r="M269"/>
      <c r="N269"/>
      <c r="O269"/>
      <c r="P269"/>
      <c r="Q269"/>
      <c r="R269"/>
      <c r="S269"/>
      <c r="T269"/>
      <c r="U269"/>
      <c r="V269"/>
      <c r="W269"/>
      <c r="X269"/>
      <c r="Y269"/>
      <c r="Z269"/>
      <c r="AA269"/>
      <c r="AB269"/>
      <c r="AC269"/>
      <c r="AD269"/>
      <c r="AE269"/>
      <c r="AF269"/>
      <c r="AG269"/>
      <c r="AH269"/>
      <c r="AI269"/>
      <c r="AJ269"/>
      <c r="AK269"/>
      <c r="AL269"/>
    </row>
    <row r="270" spans="13:38">
      <c r="M270"/>
      <c r="N270"/>
      <c r="O270"/>
      <c r="P270"/>
      <c r="Q270"/>
      <c r="R270"/>
      <c r="S270"/>
      <c r="T270"/>
      <c r="U270"/>
      <c r="V270"/>
      <c r="W270"/>
      <c r="X270"/>
      <c r="Y270"/>
      <c r="Z270"/>
      <c r="AA270"/>
      <c r="AB270"/>
      <c r="AC270"/>
      <c r="AD270"/>
      <c r="AE270"/>
      <c r="AF270"/>
      <c r="AG270"/>
      <c r="AH270"/>
      <c r="AI270"/>
      <c r="AJ270"/>
      <c r="AK270"/>
      <c r="AL270"/>
    </row>
    <row r="271" spans="13:38">
      <c r="M271"/>
      <c r="N271"/>
      <c r="O271"/>
      <c r="P271"/>
      <c r="Q271"/>
      <c r="R271"/>
      <c r="S271"/>
      <c r="T271"/>
      <c r="U271"/>
      <c r="V271"/>
      <c r="W271"/>
      <c r="X271"/>
      <c r="Y271"/>
      <c r="Z271"/>
      <c r="AA271"/>
      <c r="AB271"/>
      <c r="AC271"/>
      <c r="AD271"/>
      <c r="AE271"/>
      <c r="AF271"/>
      <c r="AG271"/>
      <c r="AH271"/>
      <c r="AI271"/>
      <c r="AJ271"/>
      <c r="AK271"/>
      <c r="AL271"/>
    </row>
    <row r="272" spans="13:38">
      <c r="M272"/>
      <c r="N272"/>
      <c r="O272"/>
      <c r="P272"/>
      <c r="Q272"/>
      <c r="R272"/>
      <c r="S272"/>
      <c r="T272"/>
      <c r="U272"/>
      <c r="V272"/>
      <c r="W272"/>
      <c r="X272"/>
      <c r="Y272"/>
      <c r="Z272"/>
      <c r="AA272"/>
      <c r="AB272"/>
      <c r="AC272"/>
      <c r="AD272"/>
      <c r="AE272"/>
      <c r="AF272"/>
      <c r="AG272"/>
      <c r="AH272"/>
      <c r="AI272"/>
      <c r="AJ272"/>
      <c r="AK272"/>
      <c r="AL272"/>
    </row>
    <row r="273" spans="13:38">
      <c r="M273"/>
      <c r="N273"/>
      <c r="O273"/>
      <c r="P273"/>
      <c r="Q273"/>
      <c r="R273"/>
      <c r="S273"/>
      <c r="T273"/>
      <c r="U273"/>
      <c r="V273"/>
      <c r="W273"/>
      <c r="X273"/>
      <c r="Y273"/>
      <c r="Z273"/>
      <c r="AA273"/>
      <c r="AB273"/>
      <c r="AC273"/>
      <c r="AD273"/>
      <c r="AE273"/>
      <c r="AF273"/>
      <c r="AG273"/>
      <c r="AH273"/>
      <c r="AI273"/>
      <c r="AJ273"/>
      <c r="AK273"/>
      <c r="AL273"/>
    </row>
    <row r="274" spans="13:38">
      <c r="M274"/>
      <c r="N274"/>
      <c r="O274"/>
      <c r="P274"/>
      <c r="Q274"/>
      <c r="R274"/>
      <c r="S274"/>
      <c r="T274"/>
      <c r="U274"/>
      <c r="V274"/>
      <c r="W274"/>
      <c r="X274"/>
      <c r="Y274"/>
      <c r="Z274"/>
      <c r="AA274"/>
      <c r="AB274"/>
      <c r="AC274"/>
      <c r="AD274"/>
      <c r="AE274"/>
      <c r="AF274"/>
      <c r="AG274"/>
      <c r="AH274"/>
      <c r="AI274"/>
      <c r="AJ274"/>
      <c r="AK274"/>
      <c r="AL274"/>
    </row>
    <row r="275" spans="13:38">
      <c r="M275"/>
      <c r="N275"/>
      <c r="O275"/>
      <c r="P275"/>
      <c r="Q275"/>
      <c r="R275"/>
      <c r="S275"/>
      <c r="T275"/>
      <c r="U275"/>
      <c r="V275"/>
      <c r="W275"/>
      <c r="X275"/>
      <c r="Y275"/>
      <c r="Z275"/>
      <c r="AA275"/>
      <c r="AB275"/>
      <c r="AC275"/>
      <c r="AD275"/>
      <c r="AE275"/>
      <c r="AF275"/>
      <c r="AG275"/>
      <c r="AH275"/>
      <c r="AI275"/>
      <c r="AJ275"/>
      <c r="AK275"/>
      <c r="AL275"/>
    </row>
    <row r="276" spans="13:38">
      <c r="M276"/>
      <c r="N276"/>
      <c r="O276"/>
      <c r="P276"/>
      <c r="Q276"/>
      <c r="R276"/>
      <c r="S276"/>
      <c r="T276"/>
      <c r="U276"/>
      <c r="V276"/>
      <c r="W276"/>
      <c r="X276"/>
      <c r="Y276"/>
      <c r="Z276"/>
      <c r="AA276"/>
      <c r="AB276"/>
      <c r="AC276"/>
      <c r="AD276"/>
      <c r="AE276"/>
      <c r="AF276"/>
      <c r="AG276"/>
      <c r="AH276"/>
      <c r="AI276"/>
      <c r="AJ276"/>
      <c r="AK276"/>
      <c r="AL276"/>
    </row>
    <row r="277" spans="13:38">
      <c r="M277"/>
      <c r="N277"/>
      <c r="O277"/>
      <c r="P277"/>
      <c r="Q277"/>
      <c r="R277"/>
      <c r="S277"/>
      <c r="T277"/>
      <c r="U277"/>
      <c r="V277"/>
      <c r="W277"/>
      <c r="X277"/>
      <c r="Y277"/>
      <c r="Z277"/>
      <c r="AA277"/>
      <c r="AB277"/>
      <c r="AC277"/>
      <c r="AD277"/>
      <c r="AE277"/>
      <c r="AF277"/>
      <c r="AG277"/>
      <c r="AH277"/>
      <c r="AI277"/>
      <c r="AJ277"/>
      <c r="AK277"/>
      <c r="AL277"/>
    </row>
    <row r="278" spans="13:38">
      <c r="M278"/>
      <c r="N278"/>
      <c r="O278"/>
      <c r="P278"/>
      <c r="Q278"/>
      <c r="R278"/>
      <c r="S278"/>
      <c r="T278"/>
      <c r="U278"/>
      <c r="V278"/>
      <c r="W278"/>
      <c r="X278"/>
      <c r="Y278"/>
      <c r="Z278"/>
      <c r="AA278"/>
      <c r="AB278"/>
      <c r="AC278"/>
      <c r="AD278"/>
      <c r="AE278"/>
      <c r="AF278"/>
      <c r="AG278"/>
      <c r="AH278"/>
      <c r="AI278"/>
      <c r="AJ278"/>
      <c r="AK278"/>
      <c r="AL278"/>
    </row>
    <row r="279" spans="13:38">
      <c r="M279"/>
      <c r="N279"/>
      <c r="O279"/>
      <c r="P279"/>
      <c r="Q279"/>
      <c r="R279"/>
      <c r="S279"/>
      <c r="T279"/>
      <c r="U279"/>
      <c r="V279"/>
      <c r="W279"/>
      <c r="X279"/>
      <c r="Y279"/>
      <c r="Z279"/>
      <c r="AA279"/>
      <c r="AB279"/>
      <c r="AC279"/>
      <c r="AD279"/>
      <c r="AE279"/>
      <c r="AF279"/>
      <c r="AG279"/>
      <c r="AH279"/>
      <c r="AI279"/>
      <c r="AJ279"/>
      <c r="AK279"/>
      <c r="AL279"/>
    </row>
    <row r="280" spans="13:38">
      <c r="M280"/>
      <c r="N280"/>
      <c r="O280"/>
      <c r="P280"/>
      <c r="Q280"/>
      <c r="R280"/>
      <c r="S280"/>
      <c r="T280"/>
      <c r="U280"/>
      <c r="V280"/>
      <c r="W280"/>
      <c r="X280"/>
      <c r="Y280"/>
      <c r="Z280"/>
      <c r="AA280"/>
      <c r="AB280"/>
      <c r="AC280"/>
      <c r="AD280"/>
      <c r="AE280"/>
      <c r="AF280"/>
      <c r="AG280"/>
      <c r="AH280"/>
      <c r="AI280"/>
      <c r="AJ280"/>
      <c r="AK280"/>
      <c r="AL280"/>
    </row>
    <row r="281" spans="13:38">
      <c r="M281"/>
      <c r="N281"/>
      <c r="O281"/>
      <c r="P281"/>
      <c r="Q281"/>
      <c r="R281"/>
      <c r="S281"/>
      <c r="T281"/>
      <c r="U281"/>
      <c r="V281"/>
      <c r="W281"/>
      <c r="X281"/>
      <c r="Y281"/>
      <c r="Z281"/>
      <c r="AA281"/>
      <c r="AB281"/>
      <c r="AC281"/>
      <c r="AD281"/>
      <c r="AE281"/>
      <c r="AF281"/>
      <c r="AG281"/>
      <c r="AH281"/>
      <c r="AI281"/>
      <c r="AJ281"/>
      <c r="AK281"/>
      <c r="AL281"/>
    </row>
    <row r="282" spans="13:38">
      <c r="M282"/>
      <c r="N282"/>
      <c r="O282"/>
      <c r="P282"/>
      <c r="Q282"/>
      <c r="R282"/>
      <c r="S282"/>
      <c r="T282"/>
      <c r="U282"/>
      <c r="V282"/>
      <c r="W282"/>
      <c r="X282"/>
      <c r="Y282"/>
      <c r="Z282"/>
      <c r="AA282"/>
      <c r="AB282"/>
      <c r="AC282"/>
      <c r="AD282"/>
      <c r="AE282"/>
      <c r="AF282"/>
      <c r="AG282"/>
      <c r="AH282"/>
      <c r="AI282"/>
      <c r="AJ282"/>
      <c r="AK282"/>
      <c r="AL282"/>
    </row>
    <row r="283" spans="13:38">
      <c r="M283"/>
      <c r="N283"/>
      <c r="O283"/>
      <c r="P283"/>
      <c r="Q283"/>
      <c r="R283"/>
      <c r="S283"/>
      <c r="T283"/>
      <c r="U283"/>
      <c r="V283"/>
      <c r="W283"/>
      <c r="X283"/>
      <c r="Y283"/>
      <c r="Z283"/>
      <c r="AA283"/>
      <c r="AB283"/>
      <c r="AC283"/>
      <c r="AD283"/>
      <c r="AE283"/>
      <c r="AF283"/>
      <c r="AG283"/>
      <c r="AH283"/>
      <c r="AI283"/>
      <c r="AJ283"/>
      <c r="AK283"/>
      <c r="AL283"/>
    </row>
    <row r="284" spans="13:38">
      <c r="M284"/>
      <c r="N284"/>
      <c r="O284"/>
      <c r="P284"/>
      <c r="Q284"/>
      <c r="R284"/>
      <c r="S284"/>
      <c r="T284"/>
      <c r="U284"/>
      <c r="V284"/>
      <c r="W284"/>
      <c r="X284"/>
      <c r="Y284"/>
      <c r="Z284"/>
      <c r="AA284"/>
      <c r="AB284"/>
      <c r="AC284"/>
      <c r="AD284"/>
      <c r="AE284"/>
      <c r="AF284"/>
      <c r="AG284"/>
      <c r="AH284"/>
      <c r="AI284"/>
      <c r="AJ284"/>
      <c r="AK284"/>
      <c r="AL284"/>
    </row>
    <row r="285" spans="13:38">
      <c r="M285"/>
      <c r="N285"/>
      <c r="O285"/>
      <c r="P285"/>
      <c r="Q285"/>
      <c r="R285"/>
      <c r="S285"/>
      <c r="T285"/>
      <c r="U285"/>
      <c r="V285"/>
      <c r="W285"/>
      <c r="X285"/>
      <c r="Y285"/>
      <c r="Z285"/>
      <c r="AA285"/>
      <c r="AB285"/>
      <c r="AC285"/>
      <c r="AD285"/>
      <c r="AE285"/>
      <c r="AF285"/>
      <c r="AG285"/>
      <c r="AH285"/>
      <c r="AI285"/>
      <c r="AJ285"/>
      <c r="AK285"/>
      <c r="AL285"/>
    </row>
    <row r="286" spans="13:38">
      <c r="M286"/>
      <c r="N286"/>
      <c r="O286"/>
      <c r="P286"/>
      <c r="Q286"/>
      <c r="R286"/>
      <c r="S286"/>
      <c r="T286"/>
      <c r="U286"/>
      <c r="V286"/>
      <c r="W286"/>
      <c r="X286"/>
      <c r="Y286"/>
      <c r="Z286"/>
      <c r="AA286"/>
      <c r="AB286"/>
      <c r="AC286"/>
      <c r="AD286"/>
      <c r="AE286"/>
      <c r="AF286"/>
      <c r="AG286"/>
      <c r="AH286"/>
      <c r="AI286"/>
      <c r="AJ286"/>
      <c r="AK286"/>
      <c r="AL286"/>
    </row>
    <row r="287" spans="13:38">
      <c r="M287"/>
      <c r="N287"/>
      <c r="O287"/>
      <c r="P287"/>
      <c r="Q287"/>
      <c r="R287"/>
      <c r="S287"/>
      <c r="T287"/>
      <c r="U287"/>
      <c r="V287"/>
      <c r="W287"/>
      <c r="X287"/>
      <c r="Y287"/>
      <c r="Z287"/>
      <c r="AA287"/>
      <c r="AB287"/>
      <c r="AC287"/>
      <c r="AD287"/>
      <c r="AE287"/>
      <c r="AF287"/>
      <c r="AG287"/>
      <c r="AH287"/>
      <c r="AI287"/>
      <c r="AJ287"/>
      <c r="AK287"/>
      <c r="AL287"/>
    </row>
    <row r="288" spans="13:38">
      <c r="M288"/>
      <c r="N288"/>
      <c r="O288"/>
      <c r="P288"/>
      <c r="Q288"/>
      <c r="R288"/>
      <c r="S288"/>
      <c r="T288"/>
      <c r="U288"/>
      <c r="V288"/>
      <c r="W288"/>
      <c r="X288"/>
      <c r="Y288"/>
      <c r="Z288"/>
      <c r="AA288"/>
      <c r="AB288"/>
      <c r="AC288"/>
      <c r="AD288"/>
      <c r="AE288"/>
      <c r="AF288"/>
      <c r="AG288"/>
      <c r="AH288"/>
      <c r="AI288"/>
      <c r="AJ288"/>
      <c r="AK288"/>
      <c r="AL288"/>
    </row>
    <row r="289" spans="13:38">
      <c r="M289"/>
      <c r="N289"/>
      <c r="O289"/>
      <c r="P289"/>
      <c r="Q289"/>
      <c r="R289"/>
      <c r="S289"/>
      <c r="T289"/>
      <c r="U289"/>
      <c r="V289"/>
      <c r="W289"/>
      <c r="X289"/>
      <c r="Y289"/>
      <c r="Z289"/>
      <c r="AA289"/>
      <c r="AB289"/>
      <c r="AC289"/>
      <c r="AD289"/>
      <c r="AE289"/>
      <c r="AF289"/>
      <c r="AG289"/>
      <c r="AH289"/>
      <c r="AI289"/>
      <c r="AJ289"/>
      <c r="AK289"/>
      <c r="AL289"/>
    </row>
    <row r="290" spans="13:38">
      <c r="M290"/>
      <c r="N290"/>
      <c r="O290"/>
      <c r="P290"/>
      <c r="Q290"/>
      <c r="R290"/>
      <c r="S290"/>
      <c r="T290"/>
      <c r="U290"/>
      <c r="V290"/>
      <c r="W290"/>
      <c r="X290"/>
      <c r="Y290"/>
      <c r="Z290"/>
      <c r="AA290"/>
      <c r="AB290"/>
      <c r="AC290"/>
      <c r="AD290"/>
      <c r="AE290"/>
      <c r="AF290"/>
      <c r="AG290"/>
      <c r="AH290"/>
      <c r="AI290"/>
      <c r="AJ290"/>
      <c r="AK290"/>
      <c r="AL290"/>
    </row>
    <row r="291" spans="13:38">
      <c r="M291"/>
      <c r="N291"/>
      <c r="O291"/>
      <c r="P291"/>
      <c r="Q291"/>
      <c r="R291"/>
      <c r="S291"/>
      <c r="T291"/>
      <c r="U291"/>
      <c r="V291"/>
      <c r="W291"/>
      <c r="X291"/>
      <c r="Y291"/>
      <c r="Z291"/>
      <c r="AA291"/>
      <c r="AB291"/>
      <c r="AC291"/>
      <c r="AD291"/>
      <c r="AE291"/>
      <c r="AF291"/>
      <c r="AG291"/>
      <c r="AH291"/>
      <c r="AI291"/>
      <c r="AJ291"/>
      <c r="AK291"/>
      <c r="AL291"/>
    </row>
    <row r="292" spans="13:38">
      <c r="M292"/>
      <c r="N292"/>
      <c r="O292"/>
      <c r="P292"/>
      <c r="Q292"/>
      <c r="R292"/>
      <c r="S292"/>
      <c r="T292"/>
      <c r="U292"/>
      <c r="V292"/>
      <c r="W292"/>
      <c r="X292"/>
      <c r="Y292"/>
      <c r="Z292"/>
      <c r="AA292"/>
      <c r="AB292"/>
      <c r="AC292"/>
      <c r="AD292"/>
      <c r="AE292"/>
      <c r="AF292"/>
      <c r="AG292"/>
      <c r="AH292"/>
      <c r="AI292"/>
      <c r="AJ292"/>
      <c r="AK292"/>
      <c r="AL292"/>
    </row>
    <row r="293" spans="13:38">
      <c r="M293"/>
      <c r="N293"/>
      <c r="O293"/>
      <c r="P293"/>
      <c r="Q293"/>
      <c r="R293"/>
      <c r="S293"/>
      <c r="T293"/>
      <c r="U293"/>
      <c r="V293"/>
      <c r="W293"/>
      <c r="X293"/>
      <c r="Y293"/>
      <c r="Z293"/>
      <c r="AA293"/>
      <c r="AB293"/>
      <c r="AC293"/>
      <c r="AD293"/>
      <c r="AE293"/>
      <c r="AF293"/>
      <c r="AG293"/>
      <c r="AH293"/>
      <c r="AI293"/>
      <c r="AJ293"/>
      <c r="AK293"/>
      <c r="AL293"/>
    </row>
    <row r="294" spans="13:38">
      <c r="M294"/>
      <c r="N294"/>
      <c r="O294"/>
      <c r="P294"/>
      <c r="Q294"/>
      <c r="R294"/>
      <c r="S294"/>
      <c r="T294"/>
      <c r="U294"/>
      <c r="V294"/>
      <c r="W294"/>
      <c r="X294"/>
      <c r="Y294"/>
      <c r="Z294"/>
      <c r="AA294"/>
      <c r="AB294"/>
      <c r="AC294"/>
      <c r="AD294"/>
      <c r="AE294"/>
      <c r="AF294"/>
      <c r="AG294"/>
      <c r="AH294"/>
      <c r="AI294"/>
      <c r="AJ294"/>
      <c r="AK294"/>
      <c r="AL294"/>
    </row>
    <row r="295" spans="13:38">
      <c r="M295"/>
      <c r="N295"/>
      <c r="O295"/>
      <c r="P295"/>
      <c r="Q295"/>
      <c r="R295"/>
      <c r="S295"/>
      <c r="T295"/>
      <c r="U295"/>
      <c r="V295"/>
      <c r="W295"/>
      <c r="X295"/>
      <c r="Y295"/>
      <c r="Z295"/>
      <c r="AA295"/>
      <c r="AB295"/>
      <c r="AC295"/>
      <c r="AD295"/>
      <c r="AE295"/>
      <c r="AF295"/>
      <c r="AG295"/>
      <c r="AH295"/>
      <c r="AI295"/>
      <c r="AJ295"/>
      <c r="AK295"/>
      <c r="AL295"/>
    </row>
    <row r="296" spans="13:38">
      <c r="M296"/>
      <c r="N296"/>
      <c r="O296"/>
      <c r="P296"/>
      <c r="Q296"/>
      <c r="R296"/>
      <c r="S296"/>
      <c r="T296"/>
      <c r="U296"/>
      <c r="V296"/>
      <c r="W296"/>
      <c r="X296"/>
      <c r="Y296"/>
      <c r="Z296"/>
      <c r="AA296"/>
      <c r="AB296"/>
      <c r="AC296"/>
      <c r="AD296"/>
      <c r="AE296"/>
      <c r="AF296"/>
      <c r="AG296"/>
      <c r="AH296"/>
      <c r="AI296"/>
      <c r="AJ296"/>
      <c r="AK296"/>
      <c r="AL296"/>
    </row>
    <row r="297" spans="13:38">
      <c r="M297"/>
      <c r="N297"/>
      <c r="O297"/>
      <c r="P297"/>
      <c r="Q297"/>
      <c r="R297"/>
      <c r="S297"/>
      <c r="T297"/>
      <c r="U297"/>
      <c r="V297"/>
      <c r="W297"/>
      <c r="X297"/>
      <c r="Y297"/>
      <c r="Z297"/>
      <c r="AA297"/>
      <c r="AB297"/>
      <c r="AC297"/>
      <c r="AD297"/>
      <c r="AE297"/>
      <c r="AF297"/>
      <c r="AG297"/>
      <c r="AH297"/>
      <c r="AI297"/>
      <c r="AJ297"/>
      <c r="AK297"/>
      <c r="AL297"/>
    </row>
    <row r="298" spans="13:38">
      <c r="M298"/>
      <c r="N298"/>
      <c r="O298"/>
      <c r="P298"/>
      <c r="Q298"/>
      <c r="R298"/>
      <c r="S298"/>
      <c r="T298"/>
      <c r="U298"/>
      <c r="V298"/>
      <c r="W298"/>
      <c r="X298"/>
      <c r="Y298"/>
      <c r="Z298"/>
      <c r="AA298"/>
      <c r="AB298"/>
      <c r="AC298"/>
      <c r="AD298"/>
      <c r="AE298"/>
      <c r="AF298"/>
      <c r="AG298"/>
      <c r="AH298"/>
      <c r="AI298"/>
      <c r="AJ298"/>
      <c r="AK298"/>
      <c r="AL298"/>
    </row>
    <row r="299" spans="13:38">
      <c r="M299"/>
      <c r="N299"/>
      <c r="O299"/>
      <c r="P299"/>
      <c r="Q299"/>
      <c r="R299"/>
      <c r="S299"/>
      <c r="T299"/>
      <c r="U299"/>
      <c r="V299"/>
      <c r="W299"/>
      <c r="X299"/>
      <c r="Y299"/>
      <c r="Z299"/>
      <c r="AA299"/>
      <c r="AB299"/>
      <c r="AC299"/>
      <c r="AD299"/>
      <c r="AE299"/>
      <c r="AF299"/>
      <c r="AG299"/>
      <c r="AH299"/>
      <c r="AI299"/>
      <c r="AJ299"/>
      <c r="AK299"/>
      <c r="AL299"/>
    </row>
    <row r="300" spans="13:38">
      <c r="M300"/>
      <c r="N300"/>
      <c r="O300"/>
      <c r="P300"/>
      <c r="Q300"/>
      <c r="R300"/>
      <c r="S300"/>
      <c r="T300"/>
      <c r="U300"/>
      <c r="V300"/>
      <c r="W300"/>
      <c r="X300"/>
      <c r="Y300"/>
      <c r="Z300"/>
      <c r="AA300"/>
      <c r="AB300"/>
      <c r="AC300"/>
      <c r="AD300"/>
      <c r="AE300"/>
      <c r="AF300"/>
      <c r="AG300"/>
      <c r="AH300"/>
      <c r="AI300"/>
      <c r="AJ300"/>
      <c r="AK300"/>
      <c r="AL300"/>
    </row>
    <row r="301" spans="13:38">
      <c r="M301"/>
      <c r="N301"/>
      <c r="O301"/>
      <c r="P301"/>
      <c r="Q301"/>
      <c r="R301"/>
      <c r="S301"/>
      <c r="T301"/>
      <c r="U301"/>
      <c r="V301"/>
      <c r="W301"/>
      <c r="X301"/>
      <c r="Y301"/>
      <c r="Z301"/>
      <c r="AA301"/>
      <c r="AB301"/>
      <c r="AC301"/>
      <c r="AD301"/>
      <c r="AE301"/>
      <c r="AF301"/>
      <c r="AG301"/>
      <c r="AH301"/>
      <c r="AI301"/>
      <c r="AJ301"/>
      <c r="AK301"/>
      <c r="AL301"/>
    </row>
    <row r="302" spans="13:38">
      <c r="M302"/>
      <c r="N302"/>
      <c r="O302"/>
      <c r="P302"/>
      <c r="Q302"/>
      <c r="R302"/>
      <c r="S302"/>
      <c r="T302"/>
      <c r="U302"/>
      <c r="V302"/>
      <c r="W302"/>
      <c r="X302"/>
      <c r="Y302"/>
      <c r="Z302"/>
      <c r="AA302"/>
      <c r="AB302"/>
      <c r="AC302"/>
      <c r="AD302"/>
      <c r="AE302"/>
      <c r="AF302"/>
      <c r="AG302"/>
      <c r="AH302"/>
      <c r="AI302"/>
      <c r="AJ302"/>
      <c r="AK302"/>
      <c r="AL302"/>
    </row>
    <row r="303" spans="13:38">
      <c r="M303"/>
      <c r="N303"/>
      <c r="O303"/>
      <c r="P303"/>
      <c r="Q303"/>
      <c r="R303"/>
      <c r="S303"/>
      <c r="T303"/>
      <c r="U303"/>
      <c r="V303"/>
      <c r="W303"/>
      <c r="X303"/>
      <c r="Y303"/>
      <c r="Z303"/>
      <c r="AA303"/>
      <c r="AB303"/>
      <c r="AC303"/>
      <c r="AD303"/>
      <c r="AE303"/>
      <c r="AF303"/>
      <c r="AG303"/>
      <c r="AH303"/>
      <c r="AI303"/>
      <c r="AJ303"/>
      <c r="AK303"/>
      <c r="AL303"/>
    </row>
    <row r="304" spans="13:38">
      <c r="M304"/>
      <c r="N304"/>
      <c r="O304"/>
      <c r="P304"/>
      <c r="Q304"/>
      <c r="R304"/>
      <c r="S304"/>
      <c r="T304"/>
      <c r="U304"/>
      <c r="V304"/>
      <c r="W304"/>
      <c r="X304"/>
      <c r="Y304"/>
      <c r="Z304"/>
      <c r="AA304"/>
      <c r="AB304"/>
      <c r="AC304"/>
      <c r="AD304"/>
      <c r="AE304"/>
      <c r="AF304"/>
      <c r="AG304"/>
      <c r="AH304"/>
      <c r="AI304"/>
      <c r="AJ304"/>
      <c r="AK304"/>
      <c r="AL304"/>
    </row>
    <row r="305" spans="13:38">
      <c r="M305"/>
      <c r="N305"/>
      <c r="O305"/>
      <c r="P305"/>
      <c r="Q305"/>
      <c r="R305"/>
      <c r="S305"/>
      <c r="T305"/>
      <c r="U305"/>
      <c r="V305"/>
      <c r="W305"/>
      <c r="X305"/>
      <c r="Y305"/>
      <c r="Z305"/>
      <c r="AA305"/>
      <c r="AB305"/>
      <c r="AC305"/>
      <c r="AD305"/>
      <c r="AE305"/>
      <c r="AF305"/>
      <c r="AG305"/>
      <c r="AH305"/>
      <c r="AI305"/>
      <c r="AJ305"/>
      <c r="AK305"/>
      <c r="AL305"/>
    </row>
    <row r="306" spans="13:38">
      <c r="M306"/>
      <c r="N306"/>
      <c r="O306"/>
      <c r="P306"/>
      <c r="Q306"/>
      <c r="R306"/>
      <c r="S306"/>
      <c r="T306"/>
      <c r="U306"/>
      <c r="V306"/>
      <c r="W306"/>
      <c r="X306"/>
      <c r="Y306"/>
      <c r="Z306"/>
      <c r="AA306"/>
      <c r="AB306"/>
      <c r="AC306"/>
      <c r="AD306"/>
      <c r="AE306"/>
      <c r="AF306"/>
      <c r="AG306"/>
      <c r="AH306"/>
      <c r="AI306"/>
      <c r="AJ306"/>
      <c r="AK306"/>
      <c r="AL306"/>
    </row>
    <row r="307" spans="13:38">
      <c r="M307"/>
      <c r="N307"/>
      <c r="O307"/>
      <c r="P307"/>
      <c r="Q307"/>
      <c r="R307"/>
      <c r="S307"/>
      <c r="T307"/>
      <c r="U307"/>
      <c r="V307"/>
      <c r="W307"/>
      <c r="X307"/>
      <c r="Y307"/>
      <c r="Z307"/>
      <c r="AA307"/>
      <c r="AB307"/>
      <c r="AC307"/>
      <c r="AD307"/>
      <c r="AE307"/>
      <c r="AF307"/>
      <c r="AG307"/>
      <c r="AH307"/>
      <c r="AI307"/>
      <c r="AJ307"/>
      <c r="AK307"/>
      <c r="AL307"/>
    </row>
    <row r="308" spans="13:38">
      <c r="M308"/>
      <c r="N308"/>
      <c r="O308"/>
      <c r="P308"/>
      <c r="Q308"/>
      <c r="R308"/>
      <c r="S308"/>
      <c r="T308"/>
      <c r="U308"/>
      <c r="V308"/>
      <c r="W308"/>
      <c r="X308"/>
      <c r="Y308"/>
      <c r="Z308"/>
      <c r="AA308"/>
      <c r="AB308"/>
      <c r="AC308"/>
      <c r="AD308"/>
      <c r="AE308"/>
      <c r="AF308"/>
      <c r="AG308"/>
      <c r="AH308"/>
      <c r="AI308"/>
      <c r="AJ308"/>
      <c r="AK308"/>
      <c r="AL308"/>
    </row>
    <row r="309" spans="13:38">
      <c r="M309"/>
      <c r="N309"/>
      <c r="O309"/>
      <c r="P309"/>
      <c r="Q309"/>
      <c r="R309"/>
      <c r="S309"/>
      <c r="T309"/>
      <c r="U309"/>
      <c r="V309"/>
      <c r="W309"/>
      <c r="X309"/>
      <c r="Y309"/>
      <c r="Z309"/>
      <c r="AA309"/>
      <c r="AB309"/>
      <c r="AC309"/>
      <c r="AD309"/>
      <c r="AE309"/>
      <c r="AF309"/>
      <c r="AG309"/>
      <c r="AH309"/>
      <c r="AI309"/>
      <c r="AJ309"/>
      <c r="AK309"/>
      <c r="AL309"/>
    </row>
    <row r="310" spans="13:38">
      <c r="M310"/>
      <c r="N310"/>
      <c r="O310"/>
      <c r="P310"/>
      <c r="Q310"/>
      <c r="R310"/>
      <c r="S310"/>
      <c r="T310"/>
      <c r="U310"/>
      <c r="V310"/>
      <c r="W310"/>
      <c r="X310"/>
      <c r="Y310"/>
      <c r="Z310"/>
      <c r="AA310"/>
      <c r="AB310"/>
      <c r="AC310"/>
      <c r="AD310"/>
      <c r="AE310"/>
      <c r="AF310"/>
      <c r="AG310"/>
      <c r="AH310"/>
      <c r="AI310"/>
      <c r="AJ310"/>
      <c r="AK310"/>
      <c r="AL310"/>
    </row>
    <row r="311" spans="13:38">
      <c r="M311"/>
      <c r="N311"/>
      <c r="O311"/>
      <c r="P311"/>
      <c r="Q311"/>
      <c r="R311"/>
      <c r="S311"/>
      <c r="T311"/>
      <c r="U311"/>
      <c r="V311"/>
      <c r="W311"/>
      <c r="X311"/>
      <c r="Y311"/>
      <c r="Z311"/>
      <c r="AA311"/>
      <c r="AB311"/>
      <c r="AC311"/>
      <c r="AD311"/>
      <c r="AE311"/>
      <c r="AF311"/>
      <c r="AG311"/>
      <c r="AH311"/>
      <c r="AI311"/>
      <c r="AJ311"/>
      <c r="AK311"/>
      <c r="AL311"/>
    </row>
    <row r="312" spans="13:38">
      <c r="M312"/>
      <c r="N312"/>
      <c r="O312"/>
      <c r="P312"/>
      <c r="Q312"/>
      <c r="R312"/>
      <c r="S312"/>
      <c r="T312"/>
      <c r="U312"/>
      <c r="V312"/>
      <c r="W312"/>
      <c r="X312"/>
      <c r="Y312"/>
      <c r="Z312"/>
      <c r="AA312"/>
      <c r="AB312"/>
      <c r="AC312"/>
      <c r="AD312"/>
      <c r="AE312"/>
      <c r="AF312"/>
      <c r="AG312"/>
      <c r="AH312"/>
      <c r="AI312"/>
      <c r="AJ312"/>
      <c r="AK312"/>
      <c r="AL312"/>
    </row>
    <row r="313" spans="13:38">
      <c r="M313"/>
      <c r="N313"/>
      <c r="O313"/>
      <c r="P313"/>
      <c r="Q313"/>
      <c r="R313"/>
      <c r="S313"/>
      <c r="T313"/>
      <c r="U313"/>
      <c r="V313"/>
      <c r="W313"/>
      <c r="X313"/>
      <c r="Y313"/>
      <c r="Z313"/>
      <c r="AA313"/>
      <c r="AB313"/>
      <c r="AC313"/>
      <c r="AD313"/>
      <c r="AE313"/>
      <c r="AF313"/>
      <c r="AG313"/>
      <c r="AH313"/>
      <c r="AI313"/>
      <c r="AJ313"/>
      <c r="AK313"/>
      <c r="AL313"/>
    </row>
    <row r="314" spans="13:38">
      <c r="M314"/>
      <c r="N314"/>
      <c r="O314"/>
      <c r="P314"/>
      <c r="Q314"/>
      <c r="R314"/>
      <c r="S314"/>
      <c r="T314"/>
      <c r="U314"/>
      <c r="V314"/>
      <c r="W314"/>
      <c r="X314"/>
      <c r="Y314"/>
      <c r="Z314"/>
      <c r="AA314"/>
      <c r="AB314"/>
      <c r="AC314"/>
      <c r="AD314"/>
      <c r="AE314"/>
      <c r="AF314"/>
      <c r="AG314"/>
      <c r="AH314"/>
      <c r="AI314"/>
      <c r="AJ314"/>
      <c r="AK314"/>
      <c r="AL314"/>
    </row>
    <row r="315" spans="13:38">
      <c r="M315"/>
      <c r="N315"/>
      <c r="O315"/>
      <c r="P315"/>
      <c r="Q315"/>
      <c r="R315"/>
      <c r="S315"/>
      <c r="T315"/>
      <c r="U315"/>
      <c r="V315"/>
      <c r="W315"/>
      <c r="X315"/>
      <c r="Y315"/>
      <c r="Z315"/>
      <c r="AA315"/>
      <c r="AB315"/>
      <c r="AC315"/>
      <c r="AD315"/>
      <c r="AE315"/>
      <c r="AF315"/>
      <c r="AG315"/>
      <c r="AH315"/>
      <c r="AI315"/>
      <c r="AJ315"/>
      <c r="AK315"/>
      <c r="AL315"/>
    </row>
    <row r="316" spans="13:38">
      <c r="M316"/>
      <c r="N316"/>
      <c r="O316"/>
      <c r="P316"/>
      <c r="Q316"/>
      <c r="R316"/>
      <c r="S316"/>
      <c r="T316"/>
      <c r="U316"/>
      <c r="V316"/>
      <c r="W316"/>
      <c r="X316"/>
      <c r="Y316"/>
      <c r="Z316"/>
      <c r="AA316"/>
      <c r="AB316"/>
      <c r="AC316"/>
      <c r="AD316"/>
      <c r="AE316"/>
      <c r="AF316"/>
      <c r="AG316"/>
      <c r="AH316"/>
      <c r="AI316"/>
      <c r="AJ316"/>
      <c r="AK316"/>
      <c r="AL316"/>
    </row>
    <row r="317" spans="13:38">
      <c r="M317"/>
      <c r="N317"/>
      <c r="O317"/>
      <c r="P317"/>
      <c r="Q317"/>
      <c r="R317"/>
      <c r="S317"/>
      <c r="T317"/>
      <c r="U317"/>
      <c r="V317"/>
      <c r="W317"/>
      <c r="X317"/>
      <c r="Y317"/>
      <c r="Z317"/>
      <c r="AA317"/>
      <c r="AB317"/>
      <c r="AC317"/>
      <c r="AD317"/>
      <c r="AE317"/>
      <c r="AF317"/>
      <c r="AG317"/>
      <c r="AH317"/>
      <c r="AI317"/>
      <c r="AJ317"/>
      <c r="AK317"/>
      <c r="AL317"/>
    </row>
    <row r="318" spans="13:38">
      <c r="M318"/>
      <c r="N318"/>
      <c r="O318"/>
      <c r="P318"/>
      <c r="Q318"/>
      <c r="R318"/>
      <c r="S318"/>
      <c r="T318"/>
      <c r="U318"/>
      <c r="V318"/>
      <c r="W318"/>
      <c r="X318"/>
      <c r="Y318"/>
      <c r="Z318"/>
      <c r="AA318"/>
      <c r="AB318"/>
      <c r="AC318"/>
      <c r="AD318"/>
      <c r="AE318"/>
      <c r="AF318"/>
      <c r="AG318"/>
      <c r="AH318"/>
      <c r="AI318"/>
      <c r="AJ318"/>
      <c r="AK318"/>
      <c r="AL318"/>
    </row>
    <row r="319" spans="13:38">
      <c r="M319"/>
      <c r="N319"/>
      <c r="O319"/>
      <c r="P319"/>
      <c r="Q319"/>
      <c r="R319"/>
      <c r="S319"/>
      <c r="T319"/>
      <c r="U319"/>
      <c r="V319"/>
      <c r="W319"/>
      <c r="X319"/>
      <c r="Y319"/>
      <c r="Z319"/>
      <c r="AA319"/>
      <c r="AB319"/>
      <c r="AC319"/>
      <c r="AD319"/>
      <c r="AE319"/>
      <c r="AF319"/>
      <c r="AG319"/>
      <c r="AH319"/>
      <c r="AI319"/>
      <c r="AJ319"/>
      <c r="AK319"/>
      <c r="AL319"/>
    </row>
    <row r="320" spans="13:38">
      <c r="M320"/>
      <c r="N320"/>
      <c r="O320"/>
      <c r="P320"/>
      <c r="Q320"/>
      <c r="R320"/>
      <c r="S320"/>
      <c r="T320"/>
      <c r="U320"/>
      <c r="V320"/>
      <c r="W320"/>
      <c r="X320"/>
      <c r="Y320"/>
      <c r="Z320"/>
      <c r="AA320"/>
      <c r="AB320"/>
      <c r="AC320"/>
      <c r="AD320"/>
      <c r="AE320"/>
      <c r="AF320"/>
      <c r="AG320"/>
      <c r="AH320"/>
      <c r="AI320"/>
      <c r="AJ320"/>
      <c r="AK320"/>
      <c r="AL320"/>
    </row>
    <row r="321" spans="13:38">
      <c r="M321"/>
      <c r="N321"/>
      <c r="O321"/>
      <c r="P321"/>
      <c r="Q321"/>
      <c r="R321"/>
      <c r="S321"/>
      <c r="T321"/>
      <c r="U321"/>
      <c r="V321"/>
      <c r="W321"/>
      <c r="X321"/>
      <c r="Y321"/>
      <c r="Z321"/>
      <c r="AA321"/>
      <c r="AB321"/>
      <c r="AC321"/>
      <c r="AD321"/>
      <c r="AE321"/>
      <c r="AF321"/>
      <c r="AG321"/>
      <c r="AH321"/>
      <c r="AI321"/>
      <c r="AJ321"/>
      <c r="AK321"/>
      <c r="AL321"/>
    </row>
    <row r="322" spans="13:38">
      <c r="M322"/>
      <c r="N322"/>
      <c r="O322"/>
      <c r="P322"/>
      <c r="Q322"/>
      <c r="R322"/>
      <c r="S322"/>
      <c r="T322"/>
      <c r="U322"/>
      <c r="V322"/>
      <c r="W322"/>
      <c r="X322"/>
      <c r="Y322"/>
      <c r="Z322"/>
      <c r="AA322"/>
      <c r="AB322"/>
      <c r="AC322"/>
      <c r="AD322"/>
      <c r="AE322"/>
      <c r="AF322"/>
      <c r="AG322"/>
      <c r="AH322"/>
      <c r="AI322"/>
      <c r="AJ322"/>
      <c r="AK322"/>
      <c r="AL322"/>
    </row>
    <row r="323" spans="13:38">
      <c r="M323"/>
      <c r="N323"/>
      <c r="O323"/>
      <c r="P323"/>
      <c r="Q323"/>
      <c r="R323"/>
      <c r="S323"/>
      <c r="T323"/>
      <c r="U323"/>
      <c r="V323"/>
      <c r="W323"/>
      <c r="X323"/>
      <c r="Y323"/>
      <c r="Z323"/>
      <c r="AA323"/>
      <c r="AB323"/>
      <c r="AC323"/>
      <c r="AD323"/>
      <c r="AE323"/>
      <c r="AF323"/>
      <c r="AG323"/>
      <c r="AH323"/>
      <c r="AI323"/>
      <c r="AJ323"/>
      <c r="AK323"/>
      <c r="AL323"/>
    </row>
    <row r="324" spans="13:38">
      <c r="M324"/>
      <c r="N324"/>
      <c r="O324"/>
      <c r="P324"/>
      <c r="Q324"/>
      <c r="R324"/>
      <c r="S324"/>
      <c r="T324"/>
      <c r="U324"/>
      <c r="V324"/>
      <c r="W324"/>
      <c r="X324"/>
      <c r="Y324"/>
      <c r="Z324"/>
      <c r="AA324"/>
      <c r="AB324"/>
      <c r="AC324"/>
      <c r="AD324"/>
      <c r="AE324"/>
      <c r="AF324"/>
      <c r="AG324"/>
      <c r="AH324"/>
      <c r="AI324"/>
      <c r="AJ324"/>
      <c r="AK324"/>
      <c r="AL324"/>
    </row>
    <row r="325" spans="13:38">
      <c r="M325"/>
      <c r="N325"/>
      <c r="O325"/>
      <c r="P325"/>
      <c r="Q325"/>
      <c r="R325"/>
      <c r="S325"/>
      <c r="T325"/>
      <c r="U325"/>
      <c r="V325"/>
      <c r="W325"/>
      <c r="X325"/>
      <c r="Y325"/>
      <c r="Z325"/>
      <c r="AA325"/>
      <c r="AB325"/>
      <c r="AC325"/>
      <c r="AD325"/>
      <c r="AE325"/>
      <c r="AF325"/>
      <c r="AG325"/>
      <c r="AH325"/>
      <c r="AI325"/>
      <c r="AJ325"/>
      <c r="AK325"/>
      <c r="AL325"/>
    </row>
    <row r="326" spans="13:38">
      <c r="M326"/>
      <c r="N326"/>
      <c r="O326"/>
      <c r="P326"/>
      <c r="Q326"/>
      <c r="R326"/>
      <c r="S326"/>
      <c r="T326"/>
      <c r="U326"/>
      <c r="V326"/>
      <c r="W326"/>
      <c r="X326"/>
      <c r="Y326"/>
      <c r="Z326"/>
      <c r="AA326"/>
      <c r="AB326"/>
      <c r="AC326"/>
      <c r="AD326"/>
      <c r="AE326"/>
      <c r="AF326"/>
      <c r="AG326"/>
      <c r="AH326"/>
      <c r="AI326"/>
      <c r="AJ326"/>
      <c r="AK326"/>
      <c r="AL326"/>
    </row>
    <row r="327" spans="13:38">
      <c r="M327"/>
      <c r="N327"/>
      <c r="O327"/>
      <c r="P327"/>
      <c r="Q327"/>
      <c r="R327"/>
      <c r="S327"/>
      <c r="T327"/>
      <c r="U327"/>
      <c r="V327"/>
      <c r="W327"/>
      <c r="X327"/>
      <c r="Y327"/>
      <c r="Z327"/>
      <c r="AA327"/>
      <c r="AB327"/>
      <c r="AC327"/>
      <c r="AD327"/>
      <c r="AE327"/>
      <c r="AF327"/>
      <c r="AG327"/>
      <c r="AH327"/>
      <c r="AI327"/>
      <c r="AJ327"/>
      <c r="AK327"/>
      <c r="AL327"/>
    </row>
    <row r="328" spans="13:38">
      <c r="M328"/>
      <c r="N328"/>
      <c r="O328"/>
      <c r="P328"/>
      <c r="Q328"/>
      <c r="R328"/>
      <c r="S328"/>
      <c r="T328"/>
      <c r="U328"/>
      <c r="V328"/>
      <c r="W328"/>
      <c r="X328"/>
      <c r="Y328"/>
      <c r="Z328"/>
      <c r="AA328"/>
      <c r="AB328"/>
      <c r="AC328"/>
      <c r="AD328"/>
      <c r="AE328"/>
      <c r="AF328"/>
      <c r="AG328"/>
      <c r="AH328"/>
      <c r="AI328"/>
      <c r="AJ328"/>
      <c r="AK328"/>
      <c r="AL328"/>
    </row>
    <row r="329" spans="13:38">
      <c r="M329"/>
      <c r="N329"/>
      <c r="O329"/>
      <c r="P329"/>
      <c r="Q329"/>
      <c r="R329"/>
      <c r="S329"/>
      <c r="T329"/>
      <c r="U329"/>
      <c r="V329"/>
      <c r="W329"/>
      <c r="X329"/>
      <c r="Y329"/>
      <c r="Z329"/>
      <c r="AA329"/>
      <c r="AB329"/>
      <c r="AC329"/>
      <c r="AD329"/>
      <c r="AE329"/>
      <c r="AF329"/>
      <c r="AG329"/>
      <c r="AH329"/>
      <c r="AI329"/>
      <c r="AJ329"/>
      <c r="AK329"/>
      <c r="AL329"/>
    </row>
    <row r="330" spans="13:38">
      <c r="M330"/>
      <c r="N330"/>
      <c r="O330"/>
      <c r="P330"/>
      <c r="Q330"/>
      <c r="R330"/>
      <c r="S330"/>
      <c r="T330"/>
      <c r="U330"/>
      <c r="V330"/>
      <c r="W330"/>
      <c r="X330"/>
      <c r="Y330"/>
      <c r="Z330"/>
      <c r="AA330"/>
      <c r="AB330"/>
      <c r="AC330"/>
      <c r="AD330"/>
      <c r="AE330"/>
      <c r="AF330"/>
      <c r="AG330"/>
      <c r="AH330"/>
      <c r="AI330"/>
      <c r="AJ330"/>
      <c r="AK330"/>
      <c r="AL330"/>
    </row>
    <row r="331" spans="13:38">
      <c r="M331"/>
      <c r="N331"/>
      <c r="O331"/>
      <c r="P331"/>
      <c r="Q331"/>
      <c r="R331"/>
      <c r="S331"/>
      <c r="T331"/>
      <c r="U331"/>
      <c r="V331"/>
      <c r="W331"/>
      <c r="X331"/>
      <c r="Y331"/>
      <c r="Z331"/>
      <c r="AA331"/>
      <c r="AB331"/>
      <c r="AC331"/>
      <c r="AD331"/>
      <c r="AE331"/>
      <c r="AF331"/>
      <c r="AG331"/>
      <c r="AH331"/>
      <c r="AI331"/>
      <c r="AJ331"/>
      <c r="AK331"/>
      <c r="AL331"/>
    </row>
    <row r="332" spans="13:38">
      <c r="M332"/>
      <c r="N332"/>
      <c r="O332"/>
      <c r="P332"/>
      <c r="Q332"/>
      <c r="R332"/>
      <c r="S332"/>
      <c r="T332"/>
      <c r="U332"/>
      <c r="V332"/>
      <c r="W332"/>
      <c r="X332"/>
      <c r="Y332"/>
      <c r="Z332"/>
      <c r="AA332"/>
      <c r="AB332"/>
      <c r="AC332"/>
      <c r="AD332"/>
      <c r="AE332"/>
      <c r="AF332"/>
      <c r="AG332"/>
      <c r="AH332"/>
      <c r="AI332"/>
      <c r="AJ332"/>
      <c r="AK332"/>
      <c r="AL332"/>
    </row>
    <row r="333" spans="13:38">
      <c r="M333"/>
      <c r="N333"/>
      <c r="O333"/>
      <c r="P333"/>
      <c r="Q333"/>
      <c r="R333"/>
      <c r="S333"/>
      <c r="T333"/>
      <c r="U333"/>
      <c r="V333"/>
      <c r="W333"/>
      <c r="X333"/>
      <c r="Y333"/>
      <c r="Z333"/>
      <c r="AA333"/>
      <c r="AB333"/>
      <c r="AC333"/>
      <c r="AD333"/>
      <c r="AE333"/>
      <c r="AF333"/>
      <c r="AG333"/>
      <c r="AH333"/>
      <c r="AI333"/>
      <c r="AJ333"/>
      <c r="AK333"/>
      <c r="AL333"/>
    </row>
    <row r="334" spans="13:38">
      <c r="M334"/>
      <c r="N334"/>
      <c r="O334"/>
      <c r="P334"/>
      <c r="Q334"/>
      <c r="R334"/>
      <c r="S334"/>
      <c r="T334"/>
      <c r="U334"/>
      <c r="V334"/>
      <c r="W334"/>
      <c r="X334"/>
      <c r="Y334"/>
      <c r="Z334"/>
      <c r="AA334"/>
      <c r="AB334"/>
      <c r="AC334"/>
      <c r="AD334"/>
      <c r="AE334"/>
      <c r="AF334"/>
      <c r="AG334"/>
      <c r="AH334"/>
      <c r="AI334"/>
      <c r="AJ334"/>
      <c r="AK334"/>
      <c r="AL334"/>
    </row>
    <row r="335" spans="13:38">
      <c r="M335"/>
      <c r="N335"/>
      <c r="O335"/>
      <c r="P335"/>
      <c r="Q335"/>
      <c r="R335"/>
      <c r="S335"/>
      <c r="T335"/>
      <c r="U335"/>
      <c r="V335"/>
      <c r="W335"/>
      <c r="X335"/>
      <c r="Y335"/>
      <c r="Z335"/>
      <c r="AA335"/>
      <c r="AB335"/>
      <c r="AC335"/>
      <c r="AD335"/>
      <c r="AE335"/>
      <c r="AF335"/>
      <c r="AG335"/>
      <c r="AH335"/>
      <c r="AI335"/>
      <c r="AJ335"/>
      <c r="AK335"/>
      <c r="AL335"/>
    </row>
    <row r="336" spans="13:38">
      <c r="M336"/>
      <c r="N336"/>
      <c r="O336"/>
      <c r="P336"/>
      <c r="Q336"/>
      <c r="R336"/>
      <c r="S336"/>
      <c r="T336"/>
      <c r="U336"/>
      <c r="V336"/>
      <c r="W336"/>
      <c r="X336"/>
      <c r="Y336"/>
      <c r="Z336"/>
      <c r="AA336"/>
      <c r="AB336"/>
      <c r="AC336"/>
      <c r="AD336"/>
      <c r="AE336"/>
      <c r="AF336"/>
      <c r="AG336"/>
      <c r="AH336"/>
      <c r="AI336"/>
      <c r="AJ336"/>
      <c r="AK336"/>
      <c r="AL336"/>
    </row>
    <row r="337" spans="13:38">
      <c r="M337"/>
      <c r="N337"/>
      <c r="O337"/>
      <c r="P337"/>
      <c r="Q337"/>
      <c r="R337"/>
      <c r="S337"/>
      <c r="T337"/>
      <c r="U337"/>
      <c r="V337"/>
      <c r="W337"/>
      <c r="X337"/>
      <c r="Y337"/>
      <c r="Z337"/>
      <c r="AA337"/>
      <c r="AB337"/>
      <c r="AC337"/>
      <c r="AD337"/>
      <c r="AE337"/>
      <c r="AF337"/>
      <c r="AG337"/>
      <c r="AH337"/>
      <c r="AI337"/>
      <c r="AJ337"/>
      <c r="AK337"/>
      <c r="AL337"/>
    </row>
    <row r="338" spans="13:38">
      <c r="M338"/>
      <c r="N338"/>
      <c r="O338"/>
      <c r="P338"/>
      <c r="Q338"/>
      <c r="R338"/>
      <c r="S338"/>
      <c r="T338"/>
      <c r="U338"/>
      <c r="V338"/>
      <c r="W338"/>
      <c r="X338"/>
      <c r="Y338"/>
      <c r="Z338"/>
      <c r="AA338"/>
      <c r="AB338"/>
      <c r="AC338"/>
      <c r="AD338"/>
      <c r="AE338"/>
      <c r="AF338"/>
      <c r="AG338"/>
      <c r="AH338"/>
      <c r="AI338"/>
      <c r="AJ338"/>
      <c r="AK338"/>
      <c r="AL338"/>
    </row>
    <row r="339" spans="13:38">
      <c r="M339"/>
      <c r="N339"/>
      <c r="O339"/>
      <c r="P339"/>
      <c r="Q339"/>
      <c r="R339"/>
      <c r="S339"/>
      <c r="T339"/>
      <c r="U339"/>
      <c r="V339"/>
      <c r="W339"/>
      <c r="X339"/>
      <c r="Y339"/>
      <c r="Z339"/>
      <c r="AA339"/>
      <c r="AB339"/>
      <c r="AC339"/>
      <c r="AD339"/>
      <c r="AE339"/>
      <c r="AF339"/>
      <c r="AG339"/>
      <c r="AH339"/>
      <c r="AI339"/>
      <c r="AJ339"/>
      <c r="AK339"/>
      <c r="AL339"/>
    </row>
    <row r="340" spans="13:38">
      <c r="M340"/>
      <c r="N340"/>
      <c r="O340"/>
      <c r="P340"/>
      <c r="Q340"/>
      <c r="R340"/>
      <c r="S340"/>
      <c r="T340"/>
      <c r="U340"/>
      <c r="V340"/>
      <c r="W340"/>
      <c r="X340"/>
      <c r="Y340"/>
      <c r="Z340"/>
      <c r="AA340"/>
      <c r="AB340"/>
      <c r="AC340"/>
      <c r="AD340"/>
      <c r="AE340"/>
      <c r="AF340"/>
      <c r="AG340"/>
      <c r="AH340"/>
      <c r="AI340"/>
      <c r="AJ340"/>
      <c r="AK340"/>
      <c r="AL340"/>
    </row>
    <row r="341" spans="13:38">
      <c r="M341"/>
      <c r="N341"/>
      <c r="O341"/>
      <c r="P341"/>
      <c r="Q341"/>
      <c r="R341"/>
      <c r="S341"/>
      <c r="T341"/>
      <c r="U341"/>
      <c r="V341"/>
      <c r="W341"/>
      <c r="X341"/>
      <c r="Y341"/>
      <c r="Z341"/>
      <c r="AA341"/>
      <c r="AB341"/>
      <c r="AC341"/>
      <c r="AD341"/>
      <c r="AE341"/>
      <c r="AF341"/>
      <c r="AG341"/>
      <c r="AH341"/>
      <c r="AI341"/>
      <c r="AJ341"/>
      <c r="AK341"/>
      <c r="AL341"/>
    </row>
    <row r="342" spans="13:38">
      <c r="M342"/>
      <c r="N342"/>
      <c r="O342"/>
      <c r="P342"/>
      <c r="Q342"/>
      <c r="R342"/>
      <c r="S342"/>
      <c r="T342"/>
      <c r="U342"/>
      <c r="V342"/>
      <c r="W342"/>
      <c r="X342"/>
      <c r="Y342"/>
      <c r="Z342"/>
      <c r="AA342"/>
      <c r="AB342"/>
      <c r="AC342"/>
      <c r="AD342"/>
      <c r="AE342"/>
      <c r="AF342"/>
      <c r="AG342"/>
      <c r="AH342"/>
      <c r="AI342"/>
      <c r="AJ342"/>
      <c r="AK342"/>
      <c r="AL342"/>
    </row>
    <row r="343" spans="13:38">
      <c r="M343"/>
      <c r="N343"/>
      <c r="O343"/>
      <c r="P343"/>
      <c r="Q343"/>
      <c r="R343"/>
      <c r="S343"/>
      <c r="T343"/>
      <c r="U343"/>
      <c r="V343"/>
      <c r="W343"/>
      <c r="X343"/>
      <c r="Y343"/>
      <c r="Z343"/>
      <c r="AA343"/>
      <c r="AB343"/>
      <c r="AC343"/>
      <c r="AD343"/>
      <c r="AE343"/>
      <c r="AF343"/>
      <c r="AG343"/>
      <c r="AH343"/>
      <c r="AI343"/>
      <c r="AJ343"/>
      <c r="AK343"/>
      <c r="AL343"/>
    </row>
    <row r="344" spans="13:38">
      <c r="M344"/>
      <c r="N344"/>
      <c r="O344"/>
      <c r="P344"/>
      <c r="Q344"/>
      <c r="R344"/>
      <c r="S344"/>
      <c r="T344"/>
      <c r="U344"/>
      <c r="V344"/>
      <c r="W344"/>
      <c r="X344"/>
      <c r="Y344"/>
      <c r="Z344"/>
      <c r="AA344"/>
      <c r="AB344"/>
      <c r="AC344"/>
      <c r="AD344"/>
      <c r="AE344"/>
      <c r="AF344"/>
      <c r="AG344"/>
      <c r="AH344"/>
      <c r="AI344"/>
      <c r="AJ344"/>
      <c r="AK344"/>
      <c r="AL344"/>
    </row>
    <row r="345" spans="13:38">
      <c r="M345"/>
      <c r="N345"/>
      <c r="O345"/>
      <c r="P345"/>
      <c r="Q345"/>
      <c r="R345"/>
      <c r="S345"/>
      <c r="T345"/>
      <c r="U345"/>
      <c r="V345"/>
      <c r="W345"/>
      <c r="X345"/>
      <c r="Y345"/>
      <c r="Z345"/>
      <c r="AA345"/>
      <c r="AB345"/>
      <c r="AC345"/>
      <c r="AD345"/>
      <c r="AE345"/>
      <c r="AF345"/>
      <c r="AG345"/>
      <c r="AH345"/>
      <c r="AI345"/>
      <c r="AJ345"/>
      <c r="AK345"/>
      <c r="AL345"/>
    </row>
    <row r="346" spans="13:38">
      <c r="M346"/>
      <c r="N346"/>
      <c r="O346"/>
      <c r="P346"/>
      <c r="Q346"/>
      <c r="R346"/>
      <c r="S346"/>
      <c r="T346"/>
      <c r="U346"/>
      <c r="V346"/>
      <c r="W346"/>
      <c r="X346"/>
      <c r="Y346"/>
      <c r="Z346"/>
      <c r="AA346"/>
      <c r="AB346"/>
      <c r="AC346"/>
      <c r="AD346"/>
      <c r="AE346"/>
      <c r="AF346"/>
      <c r="AG346"/>
      <c r="AH346"/>
      <c r="AI346"/>
      <c r="AJ346"/>
      <c r="AK346"/>
      <c r="AL346"/>
    </row>
    <row r="347" spans="13:38">
      <c r="M347"/>
      <c r="N347"/>
      <c r="O347"/>
      <c r="P347"/>
      <c r="Q347"/>
      <c r="R347"/>
      <c r="S347"/>
      <c r="T347"/>
      <c r="U347"/>
      <c r="V347"/>
      <c r="W347"/>
      <c r="X347"/>
      <c r="Y347"/>
      <c r="Z347"/>
      <c r="AA347"/>
      <c r="AB347"/>
      <c r="AC347"/>
      <c r="AD347"/>
      <c r="AE347"/>
      <c r="AF347"/>
      <c r="AG347"/>
      <c r="AH347"/>
      <c r="AI347"/>
      <c r="AJ347"/>
      <c r="AK347"/>
      <c r="AL347"/>
    </row>
    <row r="348" spans="13:38">
      <c r="M348"/>
      <c r="N348"/>
      <c r="O348"/>
      <c r="P348"/>
      <c r="Q348"/>
      <c r="R348"/>
      <c r="S348"/>
      <c r="T348"/>
      <c r="U348"/>
      <c r="V348"/>
      <c r="W348"/>
      <c r="X348"/>
      <c r="Y348"/>
      <c r="Z348"/>
      <c r="AA348"/>
      <c r="AB348"/>
      <c r="AC348"/>
      <c r="AD348"/>
      <c r="AE348"/>
      <c r="AF348"/>
      <c r="AG348"/>
      <c r="AH348"/>
      <c r="AI348"/>
      <c r="AJ348"/>
      <c r="AK348"/>
      <c r="AL348"/>
    </row>
    <row r="349" spans="13:38">
      <c r="M349"/>
      <c r="N349"/>
      <c r="O349"/>
      <c r="P349"/>
      <c r="Q349"/>
      <c r="R349"/>
      <c r="S349"/>
      <c r="T349"/>
      <c r="U349"/>
      <c r="V349"/>
      <c r="W349"/>
      <c r="X349"/>
      <c r="Y349"/>
      <c r="Z349"/>
      <c r="AA349"/>
      <c r="AB349"/>
      <c r="AC349"/>
      <c r="AD349"/>
      <c r="AE349"/>
      <c r="AF349"/>
      <c r="AG349"/>
      <c r="AH349"/>
      <c r="AI349"/>
      <c r="AJ349"/>
      <c r="AK349"/>
      <c r="AL349"/>
    </row>
    <row r="350" spans="13:38">
      <c r="M350"/>
      <c r="N350"/>
      <c r="O350"/>
      <c r="P350"/>
      <c r="Q350"/>
      <c r="R350"/>
      <c r="S350"/>
      <c r="T350"/>
      <c r="U350"/>
      <c r="V350"/>
      <c r="W350"/>
      <c r="X350"/>
      <c r="Y350"/>
      <c r="Z350"/>
      <c r="AA350"/>
      <c r="AB350"/>
      <c r="AC350"/>
      <c r="AD350"/>
      <c r="AE350"/>
      <c r="AF350"/>
      <c r="AG350"/>
      <c r="AH350"/>
      <c r="AI350"/>
      <c r="AJ350"/>
      <c r="AK350"/>
      <c r="AL350"/>
    </row>
    <row r="351" spans="13:38">
      <c r="M351"/>
      <c r="N351"/>
      <c r="O351"/>
      <c r="P351"/>
      <c r="Q351"/>
      <c r="R351"/>
      <c r="S351"/>
      <c r="T351"/>
      <c r="U351"/>
      <c r="V351"/>
      <c r="W351"/>
      <c r="X351"/>
      <c r="Y351"/>
      <c r="Z351"/>
      <c r="AA351"/>
      <c r="AB351"/>
      <c r="AC351"/>
      <c r="AD351"/>
      <c r="AE351"/>
      <c r="AF351"/>
      <c r="AG351"/>
      <c r="AH351"/>
      <c r="AI351"/>
      <c r="AJ351"/>
      <c r="AK351"/>
      <c r="AL351"/>
    </row>
    <row r="352" spans="13:38">
      <c r="M352"/>
      <c r="N352"/>
      <c r="O352"/>
      <c r="P352"/>
      <c r="Q352"/>
      <c r="R352"/>
      <c r="S352"/>
      <c r="T352"/>
      <c r="U352"/>
      <c r="V352"/>
      <c r="W352"/>
      <c r="X352"/>
      <c r="Y352"/>
      <c r="Z352"/>
      <c r="AA352"/>
      <c r="AB352"/>
      <c r="AC352"/>
      <c r="AD352"/>
      <c r="AE352"/>
      <c r="AF352"/>
      <c r="AG352"/>
      <c r="AH352"/>
      <c r="AI352"/>
      <c r="AJ352"/>
      <c r="AK352"/>
      <c r="AL352"/>
    </row>
    <row r="353" spans="13:38">
      <c r="M353"/>
      <c r="N353"/>
      <c r="O353"/>
      <c r="P353"/>
      <c r="Q353"/>
      <c r="R353"/>
      <c r="S353"/>
      <c r="T353"/>
      <c r="U353"/>
      <c r="V353"/>
      <c r="W353"/>
      <c r="X353"/>
      <c r="Y353"/>
      <c r="Z353"/>
      <c r="AA353"/>
      <c r="AB353"/>
      <c r="AC353"/>
      <c r="AD353"/>
      <c r="AE353"/>
      <c r="AF353"/>
      <c r="AG353"/>
      <c r="AH353"/>
      <c r="AI353"/>
      <c r="AJ353"/>
      <c r="AK353"/>
      <c r="AL353"/>
    </row>
    <row r="354" spans="13:38">
      <c r="M354"/>
      <c r="N354"/>
      <c r="O354"/>
      <c r="P354"/>
      <c r="Q354"/>
      <c r="R354"/>
      <c r="S354"/>
      <c r="T354"/>
      <c r="U354"/>
      <c r="V354"/>
      <c r="W354"/>
      <c r="X354"/>
      <c r="Y354"/>
      <c r="Z354"/>
      <c r="AA354"/>
      <c r="AB354"/>
      <c r="AC354"/>
      <c r="AD354"/>
      <c r="AE354"/>
      <c r="AF354"/>
      <c r="AG354"/>
      <c r="AH354"/>
      <c r="AI354"/>
      <c r="AJ354"/>
      <c r="AK354"/>
      <c r="AL354"/>
    </row>
    <row r="355" spans="13:38">
      <c r="M355"/>
      <c r="N355"/>
      <c r="O355"/>
      <c r="P355"/>
      <c r="Q355"/>
      <c r="R355"/>
      <c r="S355"/>
      <c r="T355"/>
      <c r="U355"/>
      <c r="V355"/>
      <c r="W355"/>
      <c r="X355"/>
      <c r="Y355"/>
      <c r="Z355"/>
      <c r="AA355"/>
      <c r="AB355"/>
      <c r="AC355"/>
      <c r="AD355"/>
      <c r="AE355"/>
      <c r="AF355"/>
      <c r="AG355"/>
      <c r="AH355"/>
      <c r="AI355"/>
      <c r="AJ355"/>
      <c r="AK355"/>
      <c r="AL355"/>
    </row>
    <row r="356" spans="13:38">
      <c r="M356"/>
      <c r="N356"/>
      <c r="O356"/>
      <c r="P356"/>
      <c r="Q356"/>
      <c r="R356"/>
      <c r="S356"/>
      <c r="T356"/>
      <c r="U356"/>
      <c r="V356"/>
      <c r="W356"/>
      <c r="X356"/>
      <c r="Y356"/>
      <c r="Z356"/>
      <c r="AA356"/>
      <c r="AB356"/>
      <c r="AC356"/>
      <c r="AD356"/>
      <c r="AE356"/>
      <c r="AF356"/>
      <c r="AG356"/>
      <c r="AH356"/>
      <c r="AI356"/>
      <c r="AJ356"/>
      <c r="AK356"/>
      <c r="AL356"/>
    </row>
    <row r="357" spans="13:38">
      <c r="M357"/>
      <c r="N357"/>
      <c r="O357"/>
      <c r="P357"/>
      <c r="Q357"/>
      <c r="R357"/>
      <c r="S357"/>
      <c r="T357"/>
      <c r="U357"/>
      <c r="V357"/>
      <c r="W357"/>
      <c r="X357"/>
      <c r="Y357"/>
      <c r="Z357"/>
      <c r="AA357"/>
      <c r="AB357"/>
      <c r="AC357"/>
      <c r="AD357"/>
      <c r="AE357"/>
      <c r="AF357"/>
      <c r="AG357"/>
      <c r="AH357"/>
      <c r="AI357"/>
      <c r="AJ357"/>
      <c r="AK357"/>
      <c r="AL357"/>
    </row>
    <row r="358" spans="13:38">
      <c r="M358"/>
      <c r="N358"/>
      <c r="O358"/>
      <c r="P358"/>
      <c r="Q358"/>
      <c r="R358"/>
      <c r="S358"/>
      <c r="T358"/>
      <c r="U358"/>
      <c r="V358"/>
      <c r="W358"/>
      <c r="X358"/>
      <c r="Y358"/>
      <c r="Z358"/>
      <c r="AA358"/>
      <c r="AB358"/>
      <c r="AC358"/>
      <c r="AD358"/>
      <c r="AE358"/>
      <c r="AF358"/>
      <c r="AG358"/>
      <c r="AH358"/>
      <c r="AI358"/>
      <c r="AJ358"/>
      <c r="AK358"/>
      <c r="AL358"/>
    </row>
    <row r="359" spans="13:38">
      <c r="M359"/>
      <c r="N359"/>
      <c r="O359"/>
      <c r="P359"/>
      <c r="Q359"/>
      <c r="R359"/>
      <c r="S359"/>
      <c r="T359"/>
      <c r="U359"/>
      <c r="V359"/>
      <c r="W359"/>
      <c r="X359"/>
      <c r="Y359"/>
      <c r="Z359"/>
      <c r="AA359"/>
      <c r="AB359"/>
      <c r="AC359"/>
      <c r="AD359"/>
      <c r="AE359"/>
      <c r="AF359"/>
      <c r="AG359"/>
      <c r="AH359"/>
      <c r="AI359"/>
      <c r="AJ359"/>
      <c r="AK359"/>
      <c r="AL359"/>
    </row>
    <row r="360" spans="13:38">
      <c r="M360"/>
      <c r="N360"/>
      <c r="O360"/>
      <c r="P360"/>
      <c r="Q360"/>
      <c r="R360"/>
      <c r="S360"/>
      <c r="T360"/>
      <c r="U360"/>
      <c r="V360"/>
      <c r="W360"/>
      <c r="X360"/>
      <c r="Y360"/>
      <c r="Z360"/>
      <c r="AA360"/>
      <c r="AB360"/>
      <c r="AC360"/>
      <c r="AD360"/>
      <c r="AE360"/>
      <c r="AF360"/>
      <c r="AG360"/>
      <c r="AH360"/>
      <c r="AI360"/>
      <c r="AJ360"/>
      <c r="AK360"/>
      <c r="AL360"/>
    </row>
    <row r="361" spans="13:38">
      <c r="M361"/>
      <c r="N361"/>
      <c r="O361"/>
      <c r="P361"/>
      <c r="Q361"/>
      <c r="R361"/>
      <c r="S361"/>
      <c r="T361"/>
      <c r="U361"/>
      <c r="V361"/>
      <c r="W361"/>
      <c r="X361"/>
      <c r="Y361"/>
      <c r="Z361"/>
      <c r="AA361"/>
      <c r="AB361"/>
      <c r="AC361"/>
      <c r="AD361"/>
      <c r="AE361"/>
      <c r="AF361"/>
      <c r="AG361"/>
      <c r="AH361"/>
      <c r="AI361"/>
      <c r="AJ361"/>
      <c r="AK361"/>
      <c r="AL361"/>
    </row>
    <row r="362" spans="13:38">
      <c r="M362"/>
      <c r="N362"/>
      <c r="O362"/>
      <c r="P362"/>
      <c r="Q362"/>
      <c r="R362"/>
      <c r="S362"/>
      <c r="T362"/>
      <c r="U362"/>
      <c r="V362"/>
      <c r="W362"/>
      <c r="X362"/>
      <c r="Y362"/>
      <c r="Z362"/>
      <c r="AA362"/>
      <c r="AB362"/>
      <c r="AC362"/>
      <c r="AD362"/>
      <c r="AE362"/>
      <c r="AF362"/>
      <c r="AG362"/>
      <c r="AH362"/>
      <c r="AI362"/>
      <c r="AJ362"/>
      <c r="AK362"/>
      <c r="AL362"/>
    </row>
    <row r="363" spans="13:38">
      <c r="M363"/>
      <c r="N363"/>
      <c r="O363"/>
      <c r="P363"/>
      <c r="Q363"/>
      <c r="R363"/>
      <c r="S363"/>
      <c r="T363"/>
      <c r="U363"/>
      <c r="V363"/>
      <c r="W363"/>
      <c r="X363"/>
      <c r="Y363"/>
      <c r="Z363"/>
      <c r="AA363"/>
      <c r="AB363"/>
      <c r="AC363"/>
      <c r="AD363"/>
      <c r="AE363"/>
      <c r="AF363"/>
      <c r="AG363"/>
      <c r="AH363"/>
      <c r="AI363"/>
      <c r="AJ363"/>
      <c r="AK363"/>
      <c r="AL363"/>
    </row>
    <row r="364" spans="13:38">
      <c r="M364"/>
      <c r="N364"/>
      <c r="O364"/>
      <c r="P364"/>
      <c r="Q364"/>
      <c r="R364"/>
      <c r="S364"/>
      <c r="T364"/>
      <c r="U364"/>
      <c r="V364"/>
      <c r="W364"/>
      <c r="X364"/>
      <c r="Y364"/>
      <c r="Z364"/>
      <c r="AA364"/>
      <c r="AB364"/>
      <c r="AC364"/>
      <c r="AD364"/>
      <c r="AE364"/>
      <c r="AF364"/>
      <c r="AG364"/>
      <c r="AH364"/>
      <c r="AI364"/>
      <c r="AJ364"/>
      <c r="AK364"/>
      <c r="AL364"/>
    </row>
    <row r="365" spans="13:38">
      <c r="M365"/>
      <c r="N365"/>
      <c r="O365"/>
      <c r="P365"/>
      <c r="Q365"/>
      <c r="R365"/>
      <c r="S365"/>
      <c r="T365"/>
      <c r="U365"/>
      <c r="V365"/>
      <c r="W365"/>
      <c r="X365"/>
      <c r="Y365"/>
      <c r="Z365"/>
      <c r="AA365"/>
      <c r="AB365"/>
      <c r="AC365"/>
      <c r="AD365"/>
      <c r="AE365"/>
      <c r="AF365"/>
      <c r="AG365"/>
      <c r="AH365"/>
      <c r="AI365"/>
      <c r="AJ365"/>
      <c r="AK365"/>
      <c r="AL365"/>
    </row>
    <row r="366" spans="13:38">
      <c r="M366"/>
      <c r="N366"/>
      <c r="O366"/>
      <c r="P366"/>
      <c r="Q366"/>
      <c r="R366"/>
      <c r="S366"/>
      <c r="T366"/>
      <c r="U366"/>
      <c r="V366"/>
      <c r="W366"/>
      <c r="X366"/>
      <c r="Y366"/>
      <c r="Z366"/>
      <c r="AA366"/>
      <c r="AB366"/>
      <c r="AC366"/>
      <c r="AD366"/>
      <c r="AE366"/>
      <c r="AF366"/>
      <c r="AG366"/>
      <c r="AH366"/>
      <c r="AI366"/>
      <c r="AJ366"/>
      <c r="AK366"/>
      <c r="AL366"/>
    </row>
    <row r="367" spans="13:38">
      <c r="M367"/>
      <c r="N367"/>
      <c r="O367"/>
      <c r="P367"/>
      <c r="Q367"/>
      <c r="R367"/>
      <c r="S367"/>
      <c r="T367"/>
      <c r="U367"/>
      <c r="V367"/>
      <c r="W367"/>
      <c r="X367"/>
      <c r="Y367"/>
      <c r="Z367"/>
      <c r="AA367"/>
      <c r="AB367"/>
      <c r="AC367"/>
      <c r="AD367"/>
      <c r="AE367"/>
      <c r="AF367"/>
      <c r="AG367"/>
      <c r="AH367"/>
      <c r="AI367"/>
      <c r="AJ367"/>
      <c r="AK367"/>
      <c r="AL367"/>
    </row>
    <row r="368" spans="13:38">
      <c r="M368"/>
      <c r="N368"/>
      <c r="O368"/>
      <c r="P368"/>
      <c r="Q368"/>
      <c r="R368"/>
      <c r="S368"/>
      <c r="T368"/>
      <c r="U368"/>
      <c r="V368"/>
      <c r="W368"/>
      <c r="X368"/>
      <c r="Y368"/>
      <c r="Z368"/>
      <c r="AA368"/>
      <c r="AB368"/>
      <c r="AC368"/>
      <c r="AD368"/>
      <c r="AE368"/>
      <c r="AF368"/>
      <c r="AG368"/>
      <c r="AH368"/>
      <c r="AI368"/>
      <c r="AJ368"/>
      <c r="AK368"/>
      <c r="AL368"/>
    </row>
    <row r="369" spans="13:38">
      <c r="M369"/>
      <c r="N369"/>
      <c r="O369"/>
      <c r="P369"/>
      <c r="Q369"/>
      <c r="R369"/>
      <c r="S369"/>
      <c r="T369"/>
      <c r="U369"/>
      <c r="V369"/>
      <c r="W369"/>
      <c r="X369"/>
      <c r="Y369"/>
      <c r="Z369"/>
      <c r="AA369"/>
      <c r="AB369"/>
      <c r="AC369"/>
      <c r="AD369"/>
      <c r="AE369"/>
      <c r="AF369"/>
      <c r="AG369"/>
      <c r="AH369"/>
      <c r="AI369"/>
      <c r="AJ369"/>
      <c r="AK369"/>
      <c r="AL369"/>
    </row>
    <row r="370" spans="13:38">
      <c r="M370"/>
      <c r="N370"/>
      <c r="O370"/>
      <c r="P370"/>
      <c r="Q370"/>
      <c r="R370"/>
      <c r="S370"/>
      <c r="T370"/>
      <c r="U370"/>
      <c r="V370"/>
      <c r="W370"/>
      <c r="X370"/>
      <c r="Y370"/>
      <c r="Z370"/>
      <c r="AA370"/>
      <c r="AB370"/>
      <c r="AC370"/>
      <c r="AD370"/>
      <c r="AE370"/>
      <c r="AF370"/>
      <c r="AG370"/>
      <c r="AH370"/>
      <c r="AI370"/>
      <c r="AJ370"/>
      <c r="AK370"/>
      <c r="AL370"/>
    </row>
    <row r="371" spans="13:38">
      <c r="M371"/>
      <c r="N371"/>
      <c r="O371"/>
      <c r="P371"/>
      <c r="Q371"/>
      <c r="R371"/>
      <c r="S371"/>
      <c r="T371"/>
      <c r="U371"/>
      <c r="V371"/>
      <c r="W371"/>
      <c r="X371"/>
      <c r="Y371"/>
      <c r="Z371"/>
      <c r="AA371"/>
      <c r="AB371"/>
      <c r="AC371"/>
      <c r="AD371"/>
      <c r="AE371"/>
      <c r="AF371"/>
      <c r="AG371"/>
      <c r="AH371"/>
      <c r="AI371"/>
      <c r="AJ371"/>
      <c r="AK371"/>
      <c r="AL371"/>
    </row>
    <row r="372" spans="13:38">
      <c r="M372"/>
      <c r="N372"/>
      <c r="O372"/>
      <c r="P372"/>
      <c r="Q372"/>
      <c r="R372"/>
      <c r="S372"/>
      <c r="T372"/>
      <c r="U372"/>
      <c r="V372"/>
      <c r="W372"/>
      <c r="X372"/>
      <c r="Y372"/>
      <c r="Z372"/>
      <c r="AA372"/>
      <c r="AB372"/>
      <c r="AC372"/>
      <c r="AD372"/>
      <c r="AE372"/>
      <c r="AF372"/>
      <c r="AG372"/>
      <c r="AH372"/>
      <c r="AI372"/>
      <c r="AJ372"/>
      <c r="AK372"/>
      <c r="AL372"/>
    </row>
    <row r="373" spans="13:38">
      <c r="M373"/>
      <c r="N373"/>
      <c r="O373"/>
      <c r="P373"/>
      <c r="Q373"/>
      <c r="R373"/>
      <c r="S373"/>
      <c r="T373"/>
      <c r="U373"/>
      <c r="V373"/>
      <c r="W373"/>
      <c r="X373"/>
      <c r="Y373"/>
      <c r="Z373"/>
      <c r="AA373"/>
      <c r="AB373"/>
      <c r="AC373"/>
      <c r="AD373"/>
      <c r="AE373"/>
      <c r="AF373"/>
      <c r="AG373"/>
      <c r="AH373"/>
      <c r="AI373"/>
      <c r="AJ373"/>
      <c r="AK373"/>
      <c r="AL373"/>
    </row>
    <row r="374" spans="13:38">
      <c r="M374"/>
      <c r="N374"/>
      <c r="O374"/>
      <c r="P374"/>
      <c r="Q374"/>
      <c r="R374"/>
      <c r="S374"/>
      <c r="T374"/>
      <c r="U374"/>
      <c r="V374"/>
      <c r="W374"/>
      <c r="X374"/>
      <c r="Y374"/>
      <c r="Z374"/>
      <c r="AA374"/>
      <c r="AB374"/>
      <c r="AC374"/>
      <c r="AD374"/>
      <c r="AE374"/>
      <c r="AF374"/>
      <c r="AG374"/>
      <c r="AH374"/>
      <c r="AI374"/>
      <c r="AJ374"/>
      <c r="AK374"/>
      <c r="AL374"/>
    </row>
    <row r="375" spans="13:38">
      <c r="M375"/>
      <c r="N375"/>
      <c r="O375"/>
      <c r="P375"/>
      <c r="Q375"/>
      <c r="R375"/>
      <c r="S375"/>
      <c r="T375"/>
      <c r="U375"/>
      <c r="V375"/>
      <c r="W375"/>
      <c r="X375"/>
      <c r="Y375"/>
      <c r="Z375"/>
      <c r="AA375"/>
      <c r="AB375"/>
      <c r="AC375"/>
      <c r="AD375"/>
      <c r="AE375"/>
      <c r="AF375"/>
      <c r="AG375"/>
      <c r="AH375"/>
      <c r="AI375"/>
      <c r="AJ375"/>
      <c r="AK375"/>
      <c r="AL375"/>
    </row>
    <row r="376" spans="13:38">
      <c r="M376"/>
      <c r="N376"/>
      <c r="O376"/>
      <c r="P376"/>
      <c r="Q376"/>
      <c r="R376"/>
      <c r="S376"/>
      <c r="T376"/>
      <c r="U376"/>
      <c r="V376"/>
      <c r="W376"/>
      <c r="X376"/>
      <c r="Y376"/>
      <c r="Z376"/>
      <c r="AA376"/>
      <c r="AB376"/>
      <c r="AC376"/>
      <c r="AD376"/>
      <c r="AE376"/>
      <c r="AF376"/>
      <c r="AG376"/>
      <c r="AH376"/>
      <c r="AI376"/>
      <c r="AJ376"/>
      <c r="AK376"/>
      <c r="AL376"/>
    </row>
    <row r="377" spans="13:38">
      <c r="M377"/>
      <c r="N377"/>
      <c r="O377"/>
      <c r="P377"/>
      <c r="Q377"/>
      <c r="R377"/>
      <c r="S377"/>
      <c r="T377"/>
      <c r="U377"/>
      <c r="V377"/>
      <c r="W377"/>
      <c r="X377"/>
      <c r="Y377"/>
      <c r="Z377"/>
      <c r="AA377"/>
      <c r="AB377"/>
      <c r="AC377"/>
      <c r="AD377"/>
      <c r="AE377"/>
      <c r="AF377"/>
      <c r="AG377"/>
      <c r="AH377"/>
      <c r="AI377"/>
      <c r="AJ377"/>
      <c r="AK377"/>
      <c r="AL377"/>
    </row>
    <row r="378" spans="13:38">
      <c r="M378"/>
      <c r="N378"/>
      <c r="O378"/>
      <c r="P378"/>
      <c r="Q378"/>
      <c r="R378"/>
      <c r="S378"/>
      <c r="T378"/>
      <c r="U378"/>
      <c r="V378"/>
      <c r="W378"/>
      <c r="X378"/>
      <c r="Y378"/>
      <c r="Z378"/>
      <c r="AA378"/>
      <c r="AB378"/>
      <c r="AC378"/>
      <c r="AD378"/>
      <c r="AE378"/>
      <c r="AF378"/>
      <c r="AG378"/>
      <c r="AH378"/>
      <c r="AI378"/>
      <c r="AJ378"/>
      <c r="AK378"/>
      <c r="AL378"/>
    </row>
    <row r="379" spans="13:38">
      <c r="M379"/>
      <c r="N379"/>
      <c r="O379"/>
      <c r="P379"/>
      <c r="Q379"/>
      <c r="R379"/>
      <c r="S379"/>
      <c r="T379"/>
      <c r="U379"/>
      <c r="V379"/>
      <c r="W379"/>
      <c r="X379"/>
      <c r="Y379"/>
      <c r="Z379"/>
      <c r="AA379"/>
      <c r="AB379"/>
      <c r="AC379"/>
      <c r="AD379"/>
      <c r="AE379"/>
      <c r="AF379"/>
      <c r="AG379"/>
      <c r="AH379"/>
      <c r="AI379"/>
      <c r="AJ379"/>
      <c r="AK379"/>
      <c r="AL379"/>
    </row>
    <row r="380" spans="13:38">
      <c r="M380"/>
      <c r="N380"/>
      <c r="O380"/>
      <c r="P380"/>
      <c r="Q380"/>
      <c r="R380"/>
      <c r="S380"/>
      <c r="T380"/>
      <c r="U380"/>
      <c r="V380"/>
      <c r="W380"/>
      <c r="X380"/>
      <c r="Y380"/>
      <c r="Z380"/>
      <c r="AA380"/>
      <c r="AB380"/>
      <c r="AC380"/>
      <c r="AD380"/>
      <c r="AE380"/>
      <c r="AF380"/>
      <c r="AG380"/>
      <c r="AH380"/>
      <c r="AI380"/>
      <c r="AJ380"/>
      <c r="AK380"/>
      <c r="AL380"/>
    </row>
    <row r="381" spans="13:38">
      <c r="M381"/>
      <c r="N381"/>
      <c r="O381"/>
      <c r="P381"/>
      <c r="Q381"/>
      <c r="R381"/>
      <c r="S381"/>
      <c r="T381"/>
      <c r="U381"/>
      <c r="V381"/>
      <c r="W381"/>
      <c r="X381"/>
      <c r="Y381"/>
      <c r="Z381"/>
      <c r="AA381"/>
      <c r="AB381"/>
      <c r="AC381"/>
      <c r="AD381"/>
      <c r="AE381"/>
      <c r="AF381"/>
      <c r="AG381"/>
      <c r="AH381"/>
      <c r="AI381"/>
      <c r="AJ381"/>
      <c r="AK381"/>
      <c r="AL381"/>
    </row>
    <row r="382" spans="13:38">
      <c r="M382"/>
      <c r="N382"/>
      <c r="O382"/>
      <c r="P382"/>
      <c r="Q382"/>
      <c r="R382"/>
      <c r="S382"/>
      <c r="T382"/>
      <c r="U382"/>
      <c r="V382"/>
      <c r="W382"/>
      <c r="X382"/>
      <c r="Y382"/>
      <c r="Z382"/>
      <c r="AA382"/>
      <c r="AB382"/>
      <c r="AC382"/>
      <c r="AD382"/>
      <c r="AE382"/>
      <c r="AF382"/>
      <c r="AG382"/>
      <c r="AH382"/>
      <c r="AI382"/>
      <c r="AJ382"/>
      <c r="AK382"/>
      <c r="AL382"/>
    </row>
    <row r="383" spans="13:38">
      <c r="M383"/>
      <c r="N383"/>
      <c r="O383"/>
      <c r="P383"/>
      <c r="Q383"/>
      <c r="R383"/>
      <c r="S383"/>
      <c r="T383"/>
      <c r="U383"/>
      <c r="V383"/>
      <c r="W383"/>
      <c r="X383"/>
      <c r="Y383"/>
      <c r="Z383"/>
      <c r="AA383"/>
      <c r="AB383"/>
      <c r="AC383"/>
      <c r="AD383"/>
      <c r="AE383"/>
      <c r="AF383"/>
      <c r="AG383"/>
      <c r="AH383"/>
      <c r="AI383"/>
      <c r="AJ383"/>
      <c r="AK383"/>
      <c r="AL383"/>
    </row>
    <row r="384" spans="13:38">
      <c r="M384"/>
      <c r="N384"/>
      <c r="O384"/>
      <c r="P384"/>
      <c r="Q384"/>
      <c r="R384"/>
      <c r="S384"/>
      <c r="T384"/>
      <c r="U384"/>
      <c r="V384"/>
      <c r="W384"/>
      <c r="X384"/>
      <c r="Y384"/>
      <c r="Z384"/>
      <c r="AA384"/>
      <c r="AB384"/>
      <c r="AC384"/>
      <c r="AD384"/>
      <c r="AE384"/>
      <c r="AF384"/>
      <c r="AG384"/>
      <c r="AH384"/>
      <c r="AI384"/>
      <c r="AJ384"/>
      <c r="AK384"/>
      <c r="AL384"/>
    </row>
    <row r="385" spans="13:38">
      <c r="M385"/>
      <c r="N385"/>
      <c r="O385"/>
      <c r="P385"/>
      <c r="Q385"/>
      <c r="R385"/>
      <c r="S385"/>
      <c r="T385"/>
      <c r="U385"/>
      <c r="V385"/>
      <c r="W385"/>
      <c r="X385"/>
      <c r="Y385"/>
      <c r="Z385"/>
      <c r="AA385"/>
      <c r="AB385"/>
      <c r="AC385"/>
      <c r="AD385"/>
      <c r="AE385"/>
      <c r="AF385"/>
      <c r="AG385"/>
      <c r="AH385"/>
      <c r="AI385"/>
      <c r="AJ385"/>
      <c r="AK385"/>
      <c r="AL385"/>
    </row>
    <row r="386" spans="13:38">
      <c r="M386"/>
      <c r="N386"/>
      <c r="O386"/>
      <c r="P386"/>
      <c r="Q386"/>
      <c r="R386"/>
      <c r="S386"/>
      <c r="T386"/>
      <c r="U386"/>
      <c r="V386"/>
      <c r="W386"/>
      <c r="X386"/>
      <c r="Y386"/>
      <c r="Z386"/>
      <c r="AA386"/>
      <c r="AB386"/>
      <c r="AC386"/>
      <c r="AD386"/>
      <c r="AE386"/>
      <c r="AF386"/>
      <c r="AG386"/>
      <c r="AH386"/>
      <c r="AI386"/>
      <c r="AJ386"/>
      <c r="AK386"/>
      <c r="AL386"/>
    </row>
    <row r="387" spans="13:38">
      <c r="M387"/>
      <c r="N387"/>
      <c r="O387"/>
      <c r="P387"/>
      <c r="Q387"/>
      <c r="R387"/>
      <c r="S387"/>
      <c r="T387"/>
      <c r="U387"/>
      <c r="V387"/>
      <c r="W387"/>
      <c r="X387"/>
      <c r="Y387"/>
      <c r="Z387"/>
      <c r="AA387"/>
      <c r="AB387"/>
      <c r="AC387"/>
      <c r="AD387"/>
      <c r="AE387"/>
      <c r="AF387"/>
      <c r="AG387"/>
      <c r="AH387"/>
      <c r="AI387"/>
      <c r="AJ387"/>
      <c r="AK387"/>
      <c r="AL387"/>
    </row>
    <row r="388" spans="13:38">
      <c r="M388"/>
      <c r="N388"/>
      <c r="O388"/>
      <c r="P388"/>
      <c r="Q388"/>
      <c r="R388"/>
      <c r="S388"/>
      <c r="T388"/>
      <c r="U388"/>
      <c r="V388"/>
      <c r="W388"/>
      <c r="X388"/>
      <c r="Y388"/>
      <c r="Z388"/>
      <c r="AA388"/>
      <c r="AB388"/>
      <c r="AC388"/>
      <c r="AD388"/>
      <c r="AE388"/>
      <c r="AF388"/>
      <c r="AG388"/>
      <c r="AH388"/>
      <c r="AI388"/>
      <c r="AJ388"/>
      <c r="AK388"/>
      <c r="AL388"/>
    </row>
    <row r="389" spans="13:38">
      <c r="M389"/>
      <c r="N389"/>
      <c r="O389"/>
      <c r="P389"/>
      <c r="Q389"/>
      <c r="R389"/>
      <c r="S389"/>
      <c r="T389"/>
      <c r="U389"/>
      <c r="V389"/>
      <c r="W389"/>
      <c r="X389"/>
      <c r="Y389"/>
      <c r="Z389"/>
      <c r="AA389"/>
      <c r="AB389"/>
      <c r="AC389"/>
      <c r="AD389"/>
      <c r="AE389"/>
      <c r="AF389"/>
      <c r="AG389"/>
      <c r="AH389"/>
      <c r="AI389"/>
      <c r="AJ389"/>
      <c r="AK389"/>
      <c r="AL389"/>
    </row>
    <row r="390" spans="13:38">
      <c r="M390"/>
      <c r="N390"/>
      <c r="O390"/>
      <c r="P390"/>
      <c r="Q390"/>
      <c r="R390"/>
      <c r="S390"/>
      <c r="T390"/>
      <c r="U390"/>
      <c r="V390"/>
      <c r="W390"/>
      <c r="X390"/>
      <c r="Y390"/>
      <c r="Z390"/>
      <c r="AA390"/>
      <c r="AB390"/>
      <c r="AC390"/>
      <c r="AD390"/>
      <c r="AE390"/>
      <c r="AF390"/>
      <c r="AG390"/>
      <c r="AH390"/>
      <c r="AI390"/>
      <c r="AJ390"/>
      <c r="AK390"/>
      <c r="AL390"/>
    </row>
    <row r="391" spans="13:38">
      <c r="M391"/>
      <c r="N391"/>
      <c r="O391"/>
      <c r="P391"/>
      <c r="Q391"/>
      <c r="R391"/>
      <c r="S391"/>
      <c r="T391"/>
      <c r="U391"/>
      <c r="V391"/>
      <c r="W391"/>
      <c r="X391"/>
      <c r="Y391"/>
      <c r="Z391"/>
      <c r="AA391"/>
      <c r="AB391"/>
      <c r="AC391"/>
      <c r="AD391"/>
      <c r="AE391"/>
      <c r="AF391"/>
      <c r="AG391"/>
      <c r="AH391"/>
      <c r="AI391"/>
      <c r="AJ391"/>
      <c r="AK391"/>
      <c r="AL391"/>
    </row>
    <row r="392" spans="13:38">
      <c r="M392"/>
      <c r="N392"/>
      <c r="O392"/>
      <c r="P392"/>
      <c r="Q392"/>
      <c r="R392"/>
      <c r="S392"/>
      <c r="T392"/>
      <c r="U392"/>
      <c r="V392"/>
      <c r="W392"/>
      <c r="X392"/>
      <c r="Y392"/>
      <c r="Z392"/>
      <c r="AA392"/>
      <c r="AB392"/>
      <c r="AC392"/>
      <c r="AD392"/>
      <c r="AE392"/>
      <c r="AF392"/>
      <c r="AG392"/>
      <c r="AH392"/>
      <c r="AI392"/>
      <c r="AJ392"/>
      <c r="AK392"/>
      <c r="AL392"/>
    </row>
    <row r="393" spans="13:38">
      <c r="M393"/>
      <c r="N393"/>
      <c r="O393"/>
      <c r="P393"/>
      <c r="Q393"/>
      <c r="R393"/>
      <c r="S393"/>
      <c r="T393"/>
      <c r="U393"/>
      <c r="V393"/>
      <c r="W393"/>
      <c r="X393"/>
      <c r="Y393"/>
      <c r="Z393"/>
      <c r="AA393"/>
      <c r="AB393"/>
      <c r="AC393"/>
      <c r="AD393"/>
      <c r="AE393"/>
      <c r="AF393"/>
      <c r="AG393"/>
      <c r="AH393"/>
      <c r="AI393"/>
      <c r="AJ393"/>
      <c r="AK393"/>
      <c r="AL393"/>
    </row>
    <row r="394" spans="13:38">
      <c r="M394"/>
      <c r="N394"/>
      <c r="O394"/>
      <c r="P394"/>
      <c r="Q394"/>
      <c r="R394"/>
      <c r="S394"/>
      <c r="T394"/>
      <c r="U394"/>
      <c r="V394"/>
      <c r="W394"/>
      <c r="X394"/>
      <c r="Y394"/>
      <c r="Z394"/>
      <c r="AA394"/>
      <c r="AB394"/>
      <c r="AC394"/>
      <c r="AD394"/>
      <c r="AE394"/>
      <c r="AF394"/>
      <c r="AG394"/>
      <c r="AH394"/>
      <c r="AI394"/>
      <c r="AJ394"/>
      <c r="AK394"/>
      <c r="AL394"/>
    </row>
    <row r="395" spans="13:38">
      <c r="M395"/>
      <c r="N395"/>
      <c r="O395"/>
      <c r="P395"/>
      <c r="Q395"/>
      <c r="R395"/>
      <c r="S395"/>
      <c r="T395"/>
      <c r="U395"/>
      <c r="V395"/>
      <c r="W395"/>
      <c r="X395"/>
      <c r="Y395"/>
      <c r="Z395"/>
      <c r="AA395"/>
      <c r="AB395"/>
      <c r="AC395"/>
      <c r="AD395"/>
      <c r="AE395"/>
      <c r="AF395"/>
      <c r="AG395"/>
      <c r="AH395"/>
      <c r="AI395"/>
      <c r="AJ395"/>
      <c r="AK395"/>
      <c r="AL395"/>
    </row>
    <row r="396" spans="13:38">
      <c r="M396"/>
      <c r="N396"/>
      <c r="O396"/>
      <c r="P396"/>
      <c r="Q396"/>
      <c r="R396"/>
      <c r="S396"/>
      <c r="T396"/>
      <c r="U396"/>
      <c r="V396"/>
      <c r="W396"/>
      <c r="X396"/>
      <c r="Y396"/>
      <c r="Z396"/>
      <c r="AA396"/>
      <c r="AB396"/>
      <c r="AC396"/>
      <c r="AD396"/>
      <c r="AE396"/>
      <c r="AF396"/>
      <c r="AG396"/>
      <c r="AH396"/>
      <c r="AI396"/>
      <c r="AJ396"/>
      <c r="AK396"/>
      <c r="AL396"/>
    </row>
    <row r="397" spans="13:38">
      <c r="M397"/>
      <c r="N397"/>
      <c r="O397"/>
      <c r="P397"/>
      <c r="Q397"/>
      <c r="R397"/>
      <c r="S397"/>
      <c r="T397"/>
      <c r="U397"/>
      <c r="V397"/>
      <c r="W397"/>
      <c r="X397"/>
      <c r="Y397"/>
      <c r="Z397"/>
      <c r="AA397"/>
      <c r="AB397"/>
      <c r="AC397"/>
      <c r="AD397"/>
      <c r="AE397"/>
      <c r="AF397"/>
      <c r="AG397"/>
      <c r="AH397"/>
      <c r="AI397"/>
      <c r="AJ397"/>
      <c r="AK397"/>
      <c r="AL397"/>
    </row>
    <row r="398" spans="13:38">
      <c r="M398"/>
      <c r="N398"/>
      <c r="O398"/>
      <c r="P398"/>
      <c r="Q398"/>
      <c r="R398"/>
      <c r="S398"/>
      <c r="T398"/>
      <c r="U398"/>
      <c r="V398"/>
      <c r="W398"/>
      <c r="X398"/>
      <c r="Y398"/>
      <c r="Z398"/>
      <c r="AA398"/>
      <c r="AB398"/>
      <c r="AC398"/>
      <c r="AD398"/>
      <c r="AE398"/>
      <c r="AF398"/>
      <c r="AG398"/>
      <c r="AH398"/>
      <c r="AI398"/>
      <c r="AJ398"/>
      <c r="AK398"/>
      <c r="AL398"/>
    </row>
    <row r="399" spans="13:38">
      <c r="M399"/>
      <c r="N399"/>
      <c r="O399"/>
      <c r="P399"/>
      <c r="Q399"/>
      <c r="R399"/>
      <c r="S399"/>
      <c r="T399"/>
      <c r="U399"/>
      <c r="V399"/>
      <c r="W399"/>
      <c r="X399"/>
      <c r="Y399"/>
      <c r="Z399"/>
      <c r="AA399"/>
      <c r="AB399"/>
      <c r="AC399"/>
      <c r="AD399"/>
      <c r="AE399"/>
      <c r="AF399"/>
      <c r="AG399"/>
      <c r="AH399"/>
      <c r="AI399"/>
      <c r="AJ399"/>
      <c r="AK399"/>
      <c r="AL399"/>
    </row>
    <row r="400" spans="13:38">
      <c r="M400"/>
      <c r="N400"/>
      <c r="O400"/>
      <c r="P400"/>
      <c r="Q400"/>
      <c r="R400"/>
      <c r="S400"/>
      <c r="T400"/>
      <c r="U400"/>
      <c r="V400"/>
      <c r="W400"/>
      <c r="X400"/>
      <c r="Y400"/>
      <c r="Z400"/>
      <c r="AA400"/>
      <c r="AB400"/>
      <c r="AC400"/>
      <c r="AD400"/>
      <c r="AE400"/>
      <c r="AF400"/>
      <c r="AG400"/>
      <c r="AH400"/>
      <c r="AI400"/>
      <c r="AJ400"/>
      <c r="AK400"/>
      <c r="AL400"/>
    </row>
    <row r="401" spans="13:38">
      <c r="M401"/>
      <c r="N401"/>
      <c r="O401"/>
      <c r="P401"/>
      <c r="Q401"/>
      <c r="R401"/>
      <c r="S401"/>
      <c r="T401"/>
      <c r="U401"/>
      <c r="V401"/>
      <c r="W401"/>
      <c r="X401"/>
      <c r="Y401"/>
      <c r="Z401"/>
      <c r="AA401"/>
      <c r="AB401"/>
      <c r="AC401"/>
      <c r="AD401"/>
      <c r="AE401"/>
      <c r="AF401"/>
      <c r="AG401"/>
      <c r="AH401"/>
      <c r="AI401"/>
      <c r="AJ401"/>
      <c r="AK401"/>
      <c r="AL401"/>
    </row>
    <row r="402" spans="13:38">
      <c r="M402"/>
      <c r="N402"/>
      <c r="O402"/>
      <c r="P402"/>
      <c r="Q402"/>
      <c r="R402"/>
      <c r="S402"/>
      <c r="T402"/>
      <c r="U402"/>
      <c r="V402"/>
      <c r="W402"/>
      <c r="X402"/>
      <c r="Y402"/>
      <c r="Z402"/>
      <c r="AA402"/>
      <c r="AB402"/>
      <c r="AC402"/>
      <c r="AD402"/>
      <c r="AE402"/>
      <c r="AF402"/>
      <c r="AG402"/>
      <c r="AH402"/>
      <c r="AI402"/>
      <c r="AJ402"/>
      <c r="AK402"/>
      <c r="AL402"/>
    </row>
    <row r="403" spans="13:38">
      <c r="M403"/>
      <c r="N403"/>
      <c r="O403"/>
      <c r="P403"/>
      <c r="Q403"/>
      <c r="R403"/>
      <c r="S403"/>
      <c r="T403"/>
      <c r="U403"/>
      <c r="V403"/>
      <c r="W403"/>
      <c r="X403"/>
      <c r="Y403"/>
      <c r="Z403"/>
      <c r="AA403"/>
      <c r="AB403"/>
      <c r="AC403"/>
      <c r="AD403"/>
      <c r="AE403"/>
      <c r="AF403"/>
      <c r="AG403"/>
      <c r="AH403"/>
      <c r="AI403"/>
      <c r="AJ403"/>
      <c r="AK403"/>
      <c r="AL403"/>
    </row>
    <row r="404" spans="13:38">
      <c r="M404"/>
      <c r="N404"/>
      <c r="O404"/>
      <c r="P404"/>
      <c r="Q404"/>
      <c r="R404"/>
      <c r="S404"/>
      <c r="T404"/>
      <c r="U404"/>
      <c r="V404"/>
      <c r="W404"/>
      <c r="X404"/>
      <c r="Y404"/>
      <c r="Z404"/>
      <c r="AA404"/>
      <c r="AB404"/>
      <c r="AC404"/>
      <c r="AD404"/>
      <c r="AE404"/>
      <c r="AF404"/>
      <c r="AG404"/>
      <c r="AH404"/>
      <c r="AI404"/>
      <c r="AJ404"/>
      <c r="AK404"/>
      <c r="AL404"/>
    </row>
    <row r="405" spans="13:38">
      <c r="M405"/>
      <c r="N405"/>
      <c r="O405"/>
      <c r="P405"/>
      <c r="Q405"/>
      <c r="R405"/>
      <c r="S405"/>
      <c r="T405"/>
      <c r="U405"/>
      <c r="V405"/>
      <c r="W405"/>
      <c r="X405"/>
      <c r="Y405"/>
      <c r="Z405"/>
      <c r="AA405"/>
      <c r="AB405"/>
      <c r="AC405"/>
      <c r="AD405"/>
      <c r="AE405"/>
      <c r="AF405"/>
      <c r="AG405"/>
      <c r="AH405"/>
      <c r="AI405"/>
      <c r="AJ405"/>
      <c r="AK405"/>
      <c r="AL405"/>
    </row>
    <row r="406" spans="13:38">
      <c r="M406"/>
      <c r="N406"/>
      <c r="O406"/>
      <c r="P406"/>
      <c r="Q406"/>
      <c r="R406"/>
      <c r="S406"/>
      <c r="T406"/>
      <c r="U406"/>
      <c r="V406"/>
      <c r="W406"/>
      <c r="X406"/>
      <c r="Y406"/>
      <c r="Z406"/>
      <c r="AA406"/>
      <c r="AB406"/>
      <c r="AC406"/>
      <c r="AD406"/>
      <c r="AE406"/>
      <c r="AF406"/>
      <c r="AG406"/>
      <c r="AH406"/>
      <c r="AI406"/>
      <c r="AJ406"/>
      <c r="AK406"/>
      <c r="AL406"/>
    </row>
    <row r="407" spans="13:38">
      <c r="M407"/>
      <c r="N407"/>
      <c r="O407"/>
      <c r="P407"/>
      <c r="Q407"/>
      <c r="R407"/>
      <c r="S407"/>
      <c r="T407"/>
      <c r="U407"/>
      <c r="V407"/>
      <c r="W407"/>
      <c r="X407"/>
      <c r="Y407"/>
      <c r="Z407"/>
      <c r="AA407"/>
      <c r="AB407"/>
      <c r="AC407"/>
      <c r="AD407"/>
      <c r="AE407"/>
      <c r="AF407"/>
      <c r="AG407"/>
      <c r="AH407"/>
      <c r="AI407"/>
      <c r="AJ407"/>
      <c r="AK407"/>
      <c r="AL407"/>
    </row>
    <row r="408" spans="13:38">
      <c r="M408"/>
      <c r="N408"/>
      <c r="O408"/>
      <c r="P408"/>
      <c r="Q408"/>
      <c r="R408"/>
      <c r="S408"/>
      <c r="T408"/>
      <c r="U408"/>
      <c r="V408"/>
      <c r="W408"/>
      <c r="X408"/>
      <c r="Y408"/>
      <c r="Z408"/>
      <c r="AA408"/>
      <c r="AB408"/>
      <c r="AC408"/>
      <c r="AD408"/>
      <c r="AE408"/>
      <c r="AF408"/>
      <c r="AG408"/>
      <c r="AH408"/>
      <c r="AI408"/>
      <c r="AJ408"/>
      <c r="AK408"/>
      <c r="AL408"/>
    </row>
    <row r="409" spans="13:38">
      <c r="M409"/>
      <c r="N409"/>
      <c r="O409"/>
      <c r="P409"/>
      <c r="Q409"/>
      <c r="R409"/>
      <c r="S409"/>
      <c r="T409"/>
      <c r="U409"/>
      <c r="V409"/>
      <c r="W409"/>
      <c r="X409"/>
      <c r="Y409"/>
      <c r="Z409"/>
      <c r="AA409"/>
      <c r="AB409"/>
      <c r="AC409"/>
      <c r="AD409"/>
      <c r="AE409"/>
      <c r="AF409"/>
      <c r="AG409"/>
      <c r="AH409"/>
      <c r="AI409"/>
      <c r="AJ409"/>
      <c r="AK409"/>
      <c r="AL409"/>
    </row>
    <row r="410" spans="13:38">
      <c r="M410"/>
      <c r="N410"/>
      <c r="O410"/>
      <c r="P410"/>
      <c r="Q410"/>
      <c r="R410"/>
      <c r="S410"/>
      <c r="T410"/>
      <c r="U410"/>
      <c r="V410"/>
      <c r="W410"/>
      <c r="X410"/>
      <c r="Y410"/>
      <c r="Z410"/>
      <c r="AA410"/>
      <c r="AB410"/>
      <c r="AC410"/>
      <c r="AD410"/>
      <c r="AE410"/>
      <c r="AF410"/>
      <c r="AG410"/>
      <c r="AH410"/>
      <c r="AI410"/>
      <c r="AJ410"/>
      <c r="AK410"/>
      <c r="AL410"/>
    </row>
    <row r="411" spans="13:38">
      <c r="M411"/>
      <c r="N411"/>
      <c r="O411"/>
      <c r="P411"/>
      <c r="Q411"/>
      <c r="R411"/>
      <c r="S411"/>
      <c r="T411"/>
      <c r="U411"/>
      <c r="V411"/>
      <c r="W411"/>
      <c r="X411"/>
      <c r="Y411"/>
      <c r="Z411"/>
      <c r="AA411"/>
      <c r="AB411"/>
      <c r="AC411"/>
      <c r="AD411"/>
      <c r="AE411"/>
      <c r="AF411"/>
      <c r="AG411"/>
      <c r="AH411"/>
      <c r="AI411"/>
      <c r="AJ411"/>
      <c r="AK411"/>
      <c r="AL411"/>
    </row>
    <row r="412" spans="13:38">
      <c r="M412"/>
      <c r="N412"/>
      <c r="O412"/>
      <c r="P412"/>
      <c r="Q412"/>
      <c r="R412"/>
      <c r="S412"/>
      <c r="T412"/>
      <c r="U412"/>
      <c r="V412"/>
      <c r="W412"/>
      <c r="X412"/>
      <c r="Y412"/>
      <c r="Z412"/>
      <c r="AA412"/>
      <c r="AB412"/>
      <c r="AC412"/>
      <c r="AD412"/>
      <c r="AE412"/>
      <c r="AF412"/>
      <c r="AG412"/>
      <c r="AH412"/>
      <c r="AI412"/>
      <c r="AJ412"/>
      <c r="AK412"/>
      <c r="AL412"/>
    </row>
    <row r="413" spans="13:38">
      <c r="M413"/>
      <c r="N413"/>
      <c r="O413"/>
      <c r="P413"/>
      <c r="Q413"/>
      <c r="R413"/>
      <c r="S413"/>
      <c r="T413"/>
      <c r="U413"/>
      <c r="V413"/>
      <c r="W413"/>
      <c r="X413"/>
      <c r="Y413"/>
      <c r="Z413"/>
      <c r="AA413"/>
      <c r="AB413"/>
      <c r="AC413"/>
      <c r="AD413"/>
      <c r="AE413"/>
      <c r="AF413"/>
      <c r="AG413"/>
      <c r="AH413"/>
      <c r="AI413"/>
      <c r="AJ413"/>
      <c r="AK413"/>
      <c r="AL413"/>
    </row>
    <row r="414" spans="13:38">
      <c r="M414"/>
      <c r="N414"/>
      <c r="O414"/>
      <c r="P414"/>
      <c r="Q414"/>
      <c r="R414"/>
      <c r="S414"/>
      <c r="T414"/>
      <c r="U414"/>
      <c r="V414"/>
      <c r="W414"/>
      <c r="X414"/>
      <c r="Y414"/>
      <c r="Z414"/>
      <c r="AA414"/>
      <c r="AB414"/>
      <c r="AC414"/>
      <c r="AD414"/>
      <c r="AE414"/>
      <c r="AF414"/>
      <c r="AG414"/>
      <c r="AH414"/>
      <c r="AI414"/>
      <c r="AJ414"/>
      <c r="AK414"/>
      <c r="AL414"/>
    </row>
    <row r="415" spans="13:38">
      <c r="M415"/>
      <c r="N415"/>
      <c r="O415"/>
      <c r="P415"/>
      <c r="Q415"/>
      <c r="R415"/>
      <c r="S415"/>
      <c r="T415"/>
      <c r="U415"/>
      <c r="V415"/>
      <c r="W415"/>
      <c r="X415"/>
      <c r="Y415"/>
      <c r="Z415"/>
      <c r="AA415"/>
      <c r="AB415"/>
      <c r="AC415"/>
      <c r="AD415"/>
      <c r="AE415"/>
      <c r="AF415"/>
      <c r="AG415"/>
      <c r="AH415"/>
      <c r="AI415"/>
      <c r="AJ415"/>
      <c r="AK415"/>
      <c r="AL415"/>
    </row>
    <row r="416" spans="13:38">
      <c r="M416"/>
      <c r="N416"/>
      <c r="O416"/>
      <c r="P416"/>
      <c r="Q416"/>
      <c r="R416"/>
      <c r="S416"/>
      <c r="T416"/>
      <c r="U416"/>
      <c r="V416"/>
      <c r="W416"/>
      <c r="X416"/>
      <c r="Y416"/>
      <c r="Z416"/>
      <c r="AA416"/>
      <c r="AB416"/>
      <c r="AC416"/>
      <c r="AD416"/>
      <c r="AE416"/>
      <c r="AF416"/>
      <c r="AG416"/>
      <c r="AH416"/>
      <c r="AI416"/>
      <c r="AJ416"/>
      <c r="AK416"/>
      <c r="AL416"/>
    </row>
    <row r="417" spans="13:38">
      <c r="M417"/>
      <c r="N417"/>
      <c r="O417"/>
      <c r="P417"/>
      <c r="Q417"/>
      <c r="R417"/>
      <c r="S417"/>
      <c r="T417"/>
      <c r="U417"/>
      <c r="V417"/>
      <c r="W417"/>
      <c r="X417"/>
      <c r="Y417"/>
      <c r="Z417"/>
      <c r="AA417"/>
      <c r="AB417"/>
      <c r="AC417"/>
      <c r="AD417"/>
      <c r="AE417"/>
      <c r="AF417"/>
      <c r="AG417"/>
      <c r="AH417"/>
      <c r="AI417"/>
      <c r="AJ417"/>
      <c r="AK417"/>
      <c r="AL417"/>
    </row>
    <row r="418" spans="13:38">
      <c r="M418"/>
      <c r="N418"/>
      <c r="O418"/>
      <c r="P418"/>
      <c r="Q418"/>
      <c r="R418"/>
      <c r="S418"/>
      <c r="T418"/>
      <c r="U418"/>
      <c r="V418"/>
      <c r="W418"/>
      <c r="X418"/>
      <c r="Y418"/>
      <c r="Z418"/>
      <c r="AA418"/>
      <c r="AB418"/>
      <c r="AC418"/>
      <c r="AD418"/>
      <c r="AE418"/>
      <c r="AF418"/>
      <c r="AG418"/>
      <c r="AH418"/>
      <c r="AI418"/>
      <c r="AJ418"/>
      <c r="AK418"/>
      <c r="AL418"/>
    </row>
    <row r="419" spans="13:38">
      <c r="M419"/>
      <c r="N419"/>
      <c r="O419"/>
      <c r="P419"/>
      <c r="Q419"/>
      <c r="R419"/>
      <c r="S419"/>
      <c r="T419"/>
      <c r="U419"/>
      <c r="V419"/>
      <c r="W419"/>
      <c r="X419"/>
      <c r="Y419"/>
      <c r="Z419"/>
      <c r="AA419"/>
      <c r="AB419"/>
      <c r="AC419"/>
      <c r="AD419"/>
      <c r="AE419"/>
      <c r="AF419"/>
      <c r="AG419"/>
      <c r="AH419"/>
      <c r="AI419"/>
      <c r="AJ419"/>
      <c r="AK419"/>
      <c r="AL419"/>
    </row>
    <row r="420" spans="13:38">
      <c r="M420"/>
      <c r="N420"/>
      <c r="O420"/>
      <c r="P420"/>
      <c r="Q420"/>
      <c r="R420"/>
      <c r="S420"/>
      <c r="T420"/>
      <c r="U420"/>
      <c r="V420"/>
      <c r="W420"/>
      <c r="X420"/>
      <c r="Y420"/>
      <c r="Z420"/>
      <c r="AA420"/>
      <c r="AB420"/>
      <c r="AC420"/>
      <c r="AD420"/>
      <c r="AE420"/>
      <c r="AF420"/>
      <c r="AG420"/>
      <c r="AH420"/>
      <c r="AI420"/>
      <c r="AJ420"/>
      <c r="AK420"/>
      <c r="AL420"/>
    </row>
    <row r="421" spans="13:38">
      <c r="M421"/>
      <c r="N421"/>
      <c r="O421"/>
      <c r="P421"/>
      <c r="Q421"/>
      <c r="R421"/>
      <c r="S421"/>
      <c r="T421"/>
      <c r="U421"/>
      <c r="V421"/>
      <c r="W421"/>
      <c r="X421"/>
      <c r="Y421"/>
      <c r="Z421"/>
      <c r="AA421"/>
      <c r="AB421"/>
      <c r="AC421"/>
      <c r="AD421"/>
      <c r="AE421"/>
      <c r="AF421"/>
      <c r="AG421"/>
      <c r="AH421"/>
      <c r="AI421"/>
      <c r="AJ421"/>
      <c r="AK421"/>
      <c r="AL421"/>
    </row>
    <row r="422" spans="13:38">
      <c r="M422"/>
      <c r="N422"/>
      <c r="O422"/>
      <c r="P422"/>
      <c r="Q422"/>
      <c r="R422"/>
      <c r="S422"/>
      <c r="T422"/>
      <c r="U422"/>
      <c r="V422"/>
      <c r="W422"/>
      <c r="X422"/>
      <c r="Y422"/>
      <c r="Z422"/>
      <c r="AA422"/>
      <c r="AB422"/>
      <c r="AC422"/>
      <c r="AD422"/>
      <c r="AE422"/>
      <c r="AF422"/>
      <c r="AG422"/>
      <c r="AH422"/>
      <c r="AI422"/>
      <c r="AJ422"/>
      <c r="AK422"/>
      <c r="AL422"/>
    </row>
    <row r="423" spans="13:38">
      <c r="M423"/>
      <c r="N423"/>
      <c r="O423"/>
      <c r="P423"/>
      <c r="Q423"/>
      <c r="R423"/>
      <c r="S423"/>
      <c r="T423"/>
      <c r="U423"/>
      <c r="V423"/>
      <c r="W423"/>
      <c r="X423"/>
      <c r="Y423"/>
      <c r="Z423"/>
      <c r="AA423"/>
      <c r="AB423"/>
      <c r="AC423"/>
      <c r="AD423"/>
      <c r="AE423"/>
      <c r="AF423"/>
      <c r="AG423"/>
      <c r="AH423"/>
      <c r="AI423"/>
      <c r="AJ423"/>
      <c r="AK423"/>
      <c r="AL423"/>
    </row>
    <row r="424" spans="13:38">
      <c r="M424"/>
      <c r="N424"/>
      <c r="O424"/>
      <c r="P424"/>
      <c r="Q424"/>
      <c r="R424"/>
      <c r="S424"/>
      <c r="T424"/>
      <c r="U424"/>
      <c r="V424"/>
      <c r="W424"/>
      <c r="X424"/>
      <c r="Y424"/>
      <c r="Z424"/>
      <c r="AA424"/>
      <c r="AB424"/>
      <c r="AC424"/>
      <c r="AD424"/>
      <c r="AE424"/>
      <c r="AF424"/>
      <c r="AG424"/>
      <c r="AH424"/>
      <c r="AI424"/>
      <c r="AJ424"/>
      <c r="AK424"/>
      <c r="AL424"/>
    </row>
    <row r="425" spans="13:38">
      <c r="M425"/>
      <c r="N425"/>
      <c r="O425"/>
      <c r="P425"/>
      <c r="Q425"/>
      <c r="R425"/>
      <c r="S425"/>
      <c r="T425"/>
      <c r="U425"/>
      <c r="V425"/>
      <c r="W425"/>
      <c r="X425"/>
      <c r="Y425"/>
      <c r="Z425"/>
      <c r="AA425"/>
      <c r="AB425"/>
      <c r="AC425"/>
      <c r="AD425"/>
      <c r="AE425"/>
      <c r="AF425"/>
      <c r="AG425"/>
      <c r="AH425"/>
      <c r="AI425"/>
      <c r="AJ425"/>
      <c r="AK425"/>
      <c r="AL425"/>
    </row>
    <row r="426" spans="13:38">
      <c r="M426"/>
      <c r="N426"/>
      <c r="O426"/>
      <c r="P426"/>
      <c r="Q426"/>
      <c r="R426"/>
      <c r="S426"/>
      <c r="T426"/>
      <c r="U426"/>
      <c r="V426"/>
      <c r="W426"/>
      <c r="X426"/>
      <c r="Y426"/>
      <c r="Z426"/>
      <c r="AA426"/>
      <c r="AB426"/>
      <c r="AC426"/>
      <c r="AD426"/>
      <c r="AE426"/>
      <c r="AF426"/>
      <c r="AG426"/>
      <c r="AH426"/>
      <c r="AI426"/>
      <c r="AJ426"/>
      <c r="AK426"/>
      <c r="AL426"/>
    </row>
    <row r="427" spans="13:38">
      <c r="M427"/>
      <c r="N427"/>
      <c r="O427"/>
      <c r="P427"/>
      <c r="Q427"/>
      <c r="R427"/>
      <c r="S427"/>
      <c r="T427"/>
      <c r="U427"/>
      <c r="V427"/>
      <c r="W427"/>
      <c r="X427"/>
      <c r="Y427"/>
      <c r="Z427"/>
      <c r="AA427"/>
      <c r="AB427"/>
      <c r="AC427"/>
      <c r="AD427"/>
      <c r="AE427"/>
      <c r="AF427"/>
      <c r="AG427"/>
      <c r="AH427"/>
      <c r="AI427"/>
      <c r="AJ427"/>
      <c r="AK427"/>
      <c r="AL427"/>
    </row>
    <row r="428" spans="13:38">
      <c r="M428"/>
      <c r="N428"/>
      <c r="O428"/>
      <c r="P428"/>
      <c r="Q428"/>
      <c r="R428"/>
      <c r="S428"/>
      <c r="T428"/>
      <c r="U428"/>
      <c r="V428"/>
      <c r="W428"/>
      <c r="X428"/>
      <c r="Y428"/>
      <c r="Z428"/>
      <c r="AA428"/>
      <c r="AB428"/>
      <c r="AC428"/>
      <c r="AD428"/>
      <c r="AE428"/>
      <c r="AF428"/>
      <c r="AG428"/>
      <c r="AH428"/>
      <c r="AI428"/>
      <c r="AJ428"/>
      <c r="AK428"/>
      <c r="AL428"/>
    </row>
    <row r="429" spans="13:38">
      <c r="M429"/>
      <c r="N429"/>
      <c r="O429"/>
      <c r="P429"/>
      <c r="Q429"/>
      <c r="R429"/>
      <c r="S429"/>
      <c r="T429"/>
      <c r="U429"/>
      <c r="V429"/>
      <c r="W429"/>
      <c r="X429"/>
      <c r="Y429"/>
      <c r="Z429"/>
      <c r="AA429"/>
      <c r="AB429"/>
      <c r="AC429"/>
      <c r="AD429"/>
      <c r="AE429"/>
      <c r="AF429"/>
      <c r="AG429"/>
      <c r="AH429"/>
      <c r="AI429"/>
      <c r="AJ429"/>
      <c r="AK429"/>
      <c r="AL429"/>
    </row>
    <row r="430" spans="13:38">
      <c r="M430"/>
      <c r="N430"/>
      <c r="O430"/>
      <c r="P430"/>
      <c r="Q430"/>
      <c r="R430"/>
      <c r="S430"/>
      <c r="T430"/>
      <c r="U430"/>
      <c r="V430"/>
      <c r="W430"/>
      <c r="X430"/>
      <c r="Y430"/>
      <c r="Z430"/>
      <c r="AA430"/>
      <c r="AB430"/>
      <c r="AC430"/>
      <c r="AD430"/>
      <c r="AE430"/>
      <c r="AF430"/>
      <c r="AG430"/>
      <c r="AH430"/>
      <c r="AI430"/>
      <c r="AJ430"/>
      <c r="AK430"/>
      <c r="AL430"/>
    </row>
    <row r="431" spans="13:38">
      <c r="M431"/>
      <c r="N431"/>
      <c r="O431"/>
      <c r="P431"/>
      <c r="Q431"/>
      <c r="R431"/>
      <c r="S431"/>
      <c r="T431"/>
      <c r="U431"/>
      <c r="V431"/>
      <c r="W431"/>
      <c r="X431"/>
      <c r="Y431"/>
      <c r="Z431"/>
      <c r="AA431"/>
      <c r="AB431"/>
      <c r="AC431"/>
      <c r="AD431"/>
      <c r="AE431"/>
      <c r="AF431"/>
      <c r="AG431"/>
      <c r="AH431"/>
      <c r="AI431"/>
      <c r="AJ431"/>
      <c r="AK431"/>
      <c r="AL431"/>
    </row>
    <row r="432" spans="13:38">
      <c r="M432"/>
      <c r="N432"/>
      <c r="O432"/>
      <c r="P432"/>
      <c r="Q432"/>
      <c r="R432"/>
      <c r="S432"/>
      <c r="T432"/>
      <c r="U432"/>
      <c r="V432"/>
      <c r="W432"/>
      <c r="X432"/>
      <c r="Y432"/>
      <c r="Z432"/>
      <c r="AA432"/>
      <c r="AB432"/>
      <c r="AC432"/>
      <c r="AD432"/>
      <c r="AE432"/>
      <c r="AF432"/>
      <c r="AG432"/>
      <c r="AH432"/>
      <c r="AI432"/>
      <c r="AJ432"/>
      <c r="AK432"/>
      <c r="AL432"/>
    </row>
    <row r="433" spans="13:38">
      <c r="M433"/>
      <c r="N433"/>
      <c r="O433"/>
      <c r="P433"/>
      <c r="Q433"/>
      <c r="R433"/>
      <c r="S433"/>
      <c r="T433"/>
      <c r="U433"/>
      <c r="V433"/>
      <c r="W433"/>
      <c r="X433"/>
      <c r="Y433"/>
      <c r="Z433"/>
      <c r="AA433"/>
      <c r="AB433"/>
      <c r="AC433"/>
      <c r="AD433"/>
      <c r="AE433"/>
      <c r="AF433"/>
      <c r="AG433"/>
      <c r="AH433"/>
      <c r="AI433"/>
      <c r="AJ433"/>
      <c r="AK433"/>
      <c r="AL433"/>
    </row>
    <row r="434" spans="13:38">
      <c r="M434"/>
      <c r="N434"/>
      <c r="O434"/>
      <c r="P434"/>
      <c r="Q434"/>
      <c r="R434"/>
      <c r="S434"/>
      <c r="T434"/>
      <c r="U434"/>
      <c r="V434"/>
      <c r="W434"/>
      <c r="X434"/>
      <c r="Y434"/>
      <c r="Z434"/>
      <c r="AA434"/>
      <c r="AB434"/>
      <c r="AC434"/>
      <c r="AD434"/>
      <c r="AE434"/>
      <c r="AF434"/>
      <c r="AG434"/>
      <c r="AH434"/>
      <c r="AI434"/>
      <c r="AJ434"/>
      <c r="AK434"/>
      <c r="AL434"/>
    </row>
    <row r="435" spans="13:38">
      <c r="M435"/>
      <c r="N435"/>
      <c r="O435"/>
      <c r="P435"/>
      <c r="Q435"/>
      <c r="R435"/>
      <c r="S435"/>
      <c r="T435"/>
      <c r="U435"/>
      <c r="V435"/>
      <c r="W435"/>
      <c r="X435"/>
      <c r="Y435"/>
      <c r="Z435"/>
      <c r="AA435"/>
      <c r="AB435"/>
      <c r="AC435"/>
      <c r="AD435"/>
      <c r="AE435"/>
      <c r="AF435"/>
      <c r="AG435"/>
      <c r="AH435"/>
      <c r="AI435"/>
      <c r="AJ435"/>
      <c r="AK435"/>
      <c r="AL435"/>
    </row>
    <row r="436" spans="13:38">
      <c r="M436"/>
      <c r="N436"/>
      <c r="O436"/>
      <c r="P436"/>
      <c r="Q436"/>
      <c r="R436"/>
      <c r="S436"/>
      <c r="T436"/>
      <c r="U436"/>
      <c r="V436"/>
      <c r="W436"/>
      <c r="X436"/>
      <c r="Y436"/>
      <c r="Z436"/>
      <c r="AA436"/>
      <c r="AB436"/>
      <c r="AC436"/>
      <c r="AD436"/>
      <c r="AE436"/>
      <c r="AF436"/>
      <c r="AG436"/>
      <c r="AH436"/>
      <c r="AI436"/>
      <c r="AJ436"/>
      <c r="AK436"/>
      <c r="AL436"/>
    </row>
    <row r="437" spans="13:38">
      <c r="M437"/>
      <c r="N437"/>
      <c r="O437"/>
      <c r="P437"/>
      <c r="Q437"/>
      <c r="R437"/>
      <c r="S437"/>
      <c r="T437"/>
      <c r="U437"/>
      <c r="V437"/>
      <c r="W437"/>
      <c r="X437"/>
      <c r="Y437"/>
      <c r="Z437"/>
      <c r="AA437"/>
      <c r="AB437"/>
      <c r="AC437"/>
      <c r="AD437"/>
      <c r="AE437"/>
      <c r="AF437"/>
      <c r="AG437"/>
      <c r="AH437"/>
      <c r="AI437"/>
      <c r="AJ437"/>
      <c r="AK437"/>
      <c r="AL437"/>
    </row>
    <row r="438" spans="13:38">
      <c r="M438"/>
      <c r="N438"/>
      <c r="O438"/>
      <c r="P438"/>
      <c r="Q438"/>
      <c r="R438"/>
      <c r="S438"/>
      <c r="T438"/>
      <c r="U438"/>
      <c r="V438"/>
      <c r="W438"/>
      <c r="X438"/>
      <c r="Y438"/>
      <c r="Z438"/>
      <c r="AA438"/>
      <c r="AB438"/>
      <c r="AC438"/>
      <c r="AD438"/>
      <c r="AE438"/>
      <c r="AF438"/>
      <c r="AG438"/>
      <c r="AH438"/>
      <c r="AI438"/>
      <c r="AJ438"/>
      <c r="AK438"/>
      <c r="AL438"/>
    </row>
    <row r="439" spans="13:38">
      <c r="M439"/>
      <c r="N439"/>
      <c r="O439"/>
      <c r="P439"/>
      <c r="Q439"/>
      <c r="R439"/>
      <c r="S439"/>
      <c r="T439"/>
      <c r="U439"/>
      <c r="V439"/>
      <c r="W439"/>
      <c r="X439"/>
      <c r="Y439"/>
      <c r="Z439"/>
      <c r="AA439"/>
      <c r="AB439"/>
      <c r="AC439"/>
      <c r="AD439"/>
      <c r="AE439"/>
      <c r="AF439"/>
      <c r="AG439"/>
      <c r="AH439"/>
      <c r="AI439"/>
      <c r="AJ439"/>
      <c r="AK439"/>
      <c r="AL439"/>
    </row>
    <row r="440" spans="13:38">
      <c r="M440"/>
      <c r="N440"/>
      <c r="O440"/>
      <c r="P440"/>
      <c r="Q440"/>
      <c r="R440"/>
      <c r="S440"/>
      <c r="T440"/>
      <c r="U440"/>
      <c r="V440"/>
      <c r="W440"/>
      <c r="X440"/>
      <c r="Y440"/>
      <c r="Z440"/>
      <c r="AA440"/>
      <c r="AB440"/>
      <c r="AC440"/>
      <c r="AD440"/>
      <c r="AE440"/>
      <c r="AF440"/>
      <c r="AG440"/>
      <c r="AH440"/>
      <c r="AI440"/>
      <c r="AJ440"/>
      <c r="AK440"/>
      <c r="AL440"/>
    </row>
    <row r="441" spans="13:38">
      <c r="M441"/>
      <c r="N441"/>
      <c r="O441"/>
      <c r="P441"/>
      <c r="Q441"/>
      <c r="R441"/>
      <c r="S441"/>
      <c r="T441"/>
      <c r="U441"/>
      <c r="V441"/>
      <c r="W441"/>
      <c r="X441"/>
      <c r="Y441"/>
      <c r="Z441"/>
      <c r="AA441"/>
      <c r="AB441"/>
      <c r="AC441"/>
      <c r="AD441"/>
      <c r="AE441"/>
      <c r="AF441"/>
      <c r="AG441"/>
      <c r="AH441"/>
      <c r="AI441"/>
      <c r="AJ441"/>
      <c r="AK441"/>
      <c r="AL441"/>
    </row>
    <row r="442" spans="13:38">
      <c r="M442"/>
      <c r="N442"/>
      <c r="O442"/>
      <c r="P442"/>
      <c r="Q442"/>
      <c r="R442"/>
      <c r="S442"/>
      <c r="T442"/>
      <c r="U442"/>
      <c r="V442"/>
      <c r="W442"/>
      <c r="X442"/>
      <c r="Y442"/>
      <c r="Z442"/>
      <c r="AA442"/>
      <c r="AB442"/>
      <c r="AC442"/>
      <c r="AD442"/>
      <c r="AE442"/>
      <c r="AF442"/>
      <c r="AG442"/>
      <c r="AH442"/>
      <c r="AI442"/>
      <c r="AJ442"/>
      <c r="AK442"/>
      <c r="AL442"/>
    </row>
    <row r="443" spans="13:38">
      <c r="M443"/>
      <c r="N443"/>
      <c r="O443"/>
      <c r="P443"/>
      <c r="Q443"/>
      <c r="R443"/>
      <c r="S443"/>
      <c r="T443"/>
      <c r="U443"/>
      <c r="V443"/>
      <c r="W443"/>
      <c r="X443"/>
      <c r="Y443"/>
      <c r="Z443"/>
      <c r="AA443"/>
      <c r="AB443"/>
      <c r="AC443"/>
      <c r="AD443"/>
      <c r="AE443"/>
      <c r="AF443"/>
      <c r="AG443"/>
      <c r="AH443"/>
      <c r="AI443"/>
      <c r="AJ443"/>
      <c r="AK443"/>
      <c r="AL443"/>
    </row>
    <row r="444" spans="13:38">
      <c r="M444"/>
      <c r="N444"/>
      <c r="O444"/>
      <c r="P444"/>
      <c r="Q444"/>
      <c r="R444"/>
      <c r="S444"/>
      <c r="T444"/>
      <c r="U444"/>
      <c r="V444"/>
      <c r="W444"/>
      <c r="X444"/>
      <c r="Y444"/>
      <c r="Z444"/>
      <c r="AA444"/>
      <c r="AB444"/>
      <c r="AC444"/>
      <c r="AD444"/>
      <c r="AE444"/>
      <c r="AF444"/>
      <c r="AG444"/>
      <c r="AH444"/>
      <c r="AI444"/>
      <c r="AJ444"/>
      <c r="AK444"/>
      <c r="AL444"/>
    </row>
    <row r="445" spans="13:38">
      <c r="M445"/>
      <c r="N445"/>
      <c r="O445"/>
      <c r="P445"/>
      <c r="Q445"/>
      <c r="R445"/>
      <c r="S445"/>
      <c r="T445"/>
      <c r="U445"/>
      <c r="V445"/>
      <c r="W445"/>
      <c r="X445"/>
      <c r="Y445"/>
      <c r="Z445"/>
      <c r="AA445"/>
      <c r="AB445"/>
      <c r="AC445"/>
      <c r="AD445"/>
      <c r="AE445"/>
      <c r="AF445"/>
      <c r="AG445"/>
      <c r="AH445"/>
      <c r="AI445"/>
      <c r="AJ445"/>
      <c r="AK445"/>
      <c r="AL445"/>
    </row>
    <row r="446" spans="13:38">
      <c r="M446"/>
      <c r="N446"/>
      <c r="O446"/>
      <c r="P446"/>
      <c r="Q446"/>
      <c r="R446"/>
      <c r="S446"/>
      <c r="T446"/>
      <c r="U446"/>
      <c r="V446"/>
      <c r="W446"/>
      <c r="X446"/>
      <c r="Y446"/>
      <c r="Z446"/>
      <c r="AA446"/>
      <c r="AB446"/>
      <c r="AC446"/>
      <c r="AD446"/>
      <c r="AE446"/>
      <c r="AF446"/>
      <c r="AG446"/>
      <c r="AH446"/>
      <c r="AI446"/>
      <c r="AJ446"/>
      <c r="AK446"/>
      <c r="AL446"/>
    </row>
    <row r="447" spans="13:38">
      <c r="M447"/>
      <c r="N447"/>
      <c r="O447"/>
      <c r="P447"/>
      <c r="Q447"/>
      <c r="R447"/>
      <c r="S447"/>
      <c r="T447"/>
      <c r="U447"/>
      <c r="V447"/>
      <c r="W447"/>
      <c r="X447"/>
      <c r="Y447"/>
      <c r="Z447"/>
      <c r="AA447"/>
      <c r="AB447"/>
      <c r="AC447"/>
      <c r="AD447"/>
      <c r="AE447"/>
      <c r="AF447"/>
      <c r="AG447"/>
      <c r="AH447"/>
      <c r="AI447"/>
      <c r="AJ447"/>
      <c r="AK447"/>
      <c r="AL447"/>
    </row>
    <row r="448" spans="13:38">
      <c r="M448"/>
      <c r="N448"/>
      <c r="O448"/>
      <c r="P448"/>
      <c r="Q448"/>
      <c r="R448"/>
      <c r="S448"/>
      <c r="T448"/>
      <c r="U448"/>
      <c r="V448"/>
      <c r="W448"/>
      <c r="X448"/>
      <c r="Y448"/>
      <c r="Z448"/>
      <c r="AA448"/>
      <c r="AB448"/>
      <c r="AC448"/>
      <c r="AD448"/>
      <c r="AE448"/>
      <c r="AF448"/>
      <c r="AG448"/>
      <c r="AH448"/>
      <c r="AI448"/>
      <c r="AJ448"/>
      <c r="AK448"/>
      <c r="AL448"/>
    </row>
    <row r="449" spans="13:38">
      <c r="M449"/>
      <c r="N449"/>
      <c r="O449"/>
      <c r="P449"/>
      <c r="Q449"/>
      <c r="R449"/>
      <c r="S449"/>
      <c r="T449"/>
      <c r="U449"/>
      <c r="V449"/>
      <c r="W449"/>
      <c r="X449"/>
      <c r="Y449"/>
      <c r="Z449"/>
      <c r="AA449"/>
      <c r="AB449"/>
      <c r="AC449"/>
      <c r="AD449"/>
      <c r="AE449"/>
      <c r="AF449"/>
      <c r="AG449"/>
      <c r="AH449"/>
      <c r="AI449"/>
      <c r="AJ449"/>
      <c r="AK449"/>
      <c r="AL449"/>
    </row>
    <row r="450" spans="13:38">
      <c r="M450"/>
      <c r="N450"/>
      <c r="O450"/>
      <c r="P450"/>
      <c r="Q450"/>
      <c r="R450"/>
      <c r="S450"/>
      <c r="T450"/>
      <c r="U450"/>
      <c r="V450"/>
      <c r="W450"/>
      <c r="X450"/>
      <c r="Y450"/>
      <c r="Z450"/>
      <c r="AA450"/>
      <c r="AB450"/>
      <c r="AC450"/>
      <c r="AD450"/>
      <c r="AE450"/>
      <c r="AF450"/>
      <c r="AG450"/>
      <c r="AH450"/>
      <c r="AI450"/>
      <c r="AJ450"/>
      <c r="AK450"/>
      <c r="AL450"/>
    </row>
    <row r="451" spans="13:38">
      <c r="M451"/>
      <c r="N451"/>
      <c r="O451"/>
      <c r="P451"/>
      <c r="Q451"/>
      <c r="R451"/>
      <c r="S451"/>
      <c r="T451"/>
      <c r="U451"/>
      <c r="V451"/>
      <c r="W451"/>
      <c r="X451"/>
      <c r="Y451"/>
      <c r="Z451"/>
      <c r="AA451"/>
      <c r="AB451"/>
      <c r="AC451"/>
      <c r="AD451"/>
      <c r="AE451"/>
      <c r="AF451"/>
      <c r="AG451"/>
      <c r="AH451"/>
      <c r="AI451"/>
      <c r="AJ451"/>
      <c r="AK451"/>
      <c r="AL451"/>
    </row>
    <row r="452" spans="13:38">
      <c r="M452"/>
      <c r="N452"/>
      <c r="O452"/>
      <c r="P452"/>
      <c r="Q452"/>
      <c r="R452"/>
      <c r="S452"/>
      <c r="T452"/>
      <c r="U452"/>
      <c r="V452"/>
      <c r="W452"/>
      <c r="X452"/>
      <c r="Y452"/>
      <c r="Z452"/>
      <c r="AA452"/>
      <c r="AB452"/>
      <c r="AC452"/>
      <c r="AD452"/>
      <c r="AE452"/>
      <c r="AF452"/>
      <c r="AG452"/>
      <c r="AH452"/>
      <c r="AI452"/>
      <c r="AJ452"/>
      <c r="AK452"/>
      <c r="AL452"/>
    </row>
    <row r="453" spans="13:38">
      <c r="M453"/>
      <c r="N453"/>
      <c r="O453"/>
      <c r="P453"/>
      <c r="Q453"/>
      <c r="R453"/>
      <c r="S453"/>
      <c r="T453"/>
      <c r="U453"/>
      <c r="V453"/>
      <c r="W453"/>
      <c r="X453"/>
      <c r="Y453"/>
      <c r="Z453"/>
      <c r="AA453"/>
      <c r="AB453"/>
      <c r="AC453"/>
      <c r="AD453"/>
      <c r="AE453"/>
      <c r="AF453"/>
      <c r="AG453"/>
      <c r="AH453"/>
      <c r="AI453"/>
      <c r="AJ453"/>
      <c r="AK453"/>
      <c r="AL453"/>
    </row>
    <row r="454" spans="13:38">
      <c r="M454"/>
      <c r="N454"/>
      <c r="O454"/>
      <c r="P454"/>
      <c r="Q454"/>
      <c r="R454"/>
      <c r="S454"/>
      <c r="T454"/>
      <c r="U454"/>
      <c r="V454"/>
      <c r="W454"/>
      <c r="X454"/>
      <c r="Y454"/>
      <c r="Z454"/>
      <c r="AA454"/>
      <c r="AB454"/>
      <c r="AC454"/>
      <c r="AD454"/>
      <c r="AE454"/>
      <c r="AF454"/>
      <c r="AG454"/>
      <c r="AH454"/>
      <c r="AI454"/>
      <c r="AJ454"/>
      <c r="AK454"/>
      <c r="AL454"/>
    </row>
    <row r="455" spans="13:38">
      <c r="M455"/>
      <c r="N455"/>
      <c r="O455"/>
      <c r="P455"/>
      <c r="Q455"/>
      <c r="R455"/>
      <c r="S455"/>
      <c r="T455"/>
      <c r="U455"/>
      <c r="V455"/>
      <c r="W455"/>
      <c r="X455"/>
      <c r="Y455"/>
      <c r="Z455"/>
      <c r="AA455"/>
      <c r="AB455"/>
      <c r="AC455"/>
      <c r="AD455"/>
      <c r="AE455"/>
      <c r="AF455"/>
      <c r="AG455"/>
      <c r="AH455"/>
      <c r="AI455"/>
      <c r="AJ455"/>
      <c r="AK455"/>
      <c r="AL455"/>
    </row>
    <row r="456" spans="13:38">
      <c r="M456"/>
      <c r="N456"/>
      <c r="O456"/>
      <c r="P456"/>
      <c r="Q456"/>
      <c r="R456"/>
      <c r="S456"/>
      <c r="T456"/>
      <c r="U456"/>
      <c r="V456"/>
      <c r="W456"/>
      <c r="X456"/>
      <c r="Y456"/>
      <c r="Z456"/>
      <c r="AA456"/>
      <c r="AB456"/>
      <c r="AC456"/>
      <c r="AD456"/>
      <c r="AE456"/>
      <c r="AF456"/>
      <c r="AG456"/>
      <c r="AH456"/>
      <c r="AI456"/>
      <c r="AJ456"/>
      <c r="AK456"/>
      <c r="AL456"/>
    </row>
    <row r="457" spans="13:38">
      <c r="M457"/>
      <c r="N457"/>
      <c r="O457"/>
      <c r="P457"/>
      <c r="Q457"/>
      <c r="R457"/>
      <c r="S457"/>
      <c r="T457"/>
      <c r="U457"/>
      <c r="V457"/>
      <c r="W457"/>
      <c r="X457"/>
      <c r="Y457"/>
      <c r="Z457"/>
      <c r="AA457"/>
      <c r="AB457"/>
      <c r="AC457"/>
      <c r="AD457"/>
      <c r="AE457"/>
      <c r="AF457"/>
      <c r="AG457"/>
      <c r="AH457"/>
      <c r="AI457"/>
      <c r="AJ457"/>
      <c r="AK457"/>
      <c r="AL457"/>
    </row>
    <row r="458" spans="13:38">
      <c r="M458"/>
      <c r="N458"/>
      <c r="O458"/>
      <c r="P458"/>
      <c r="Q458"/>
      <c r="R458"/>
      <c r="S458"/>
      <c r="T458"/>
      <c r="U458"/>
      <c r="V458"/>
      <c r="W458"/>
      <c r="X458"/>
      <c r="Y458"/>
      <c r="Z458"/>
      <c r="AA458"/>
      <c r="AB458"/>
      <c r="AC458"/>
      <c r="AD458"/>
      <c r="AE458"/>
      <c r="AF458"/>
      <c r="AG458"/>
      <c r="AH458"/>
      <c r="AI458"/>
      <c r="AJ458"/>
      <c r="AK458"/>
      <c r="AL458"/>
    </row>
    <row r="459" spans="13:38">
      <c r="M459"/>
      <c r="N459"/>
      <c r="O459"/>
      <c r="P459"/>
      <c r="Q459"/>
      <c r="R459"/>
      <c r="S459"/>
      <c r="T459"/>
      <c r="U459"/>
      <c r="V459"/>
      <c r="W459"/>
      <c r="X459"/>
      <c r="Y459"/>
      <c r="Z459"/>
      <c r="AA459"/>
      <c r="AB459"/>
      <c r="AC459"/>
      <c r="AD459"/>
      <c r="AE459"/>
      <c r="AF459"/>
      <c r="AG459"/>
      <c r="AH459"/>
      <c r="AI459"/>
      <c r="AJ459"/>
      <c r="AK459"/>
      <c r="AL459"/>
    </row>
    <row r="460" spans="13:38">
      <c r="M460"/>
      <c r="N460"/>
      <c r="O460"/>
      <c r="P460"/>
      <c r="Q460"/>
      <c r="R460"/>
      <c r="S460"/>
      <c r="T460"/>
      <c r="U460"/>
      <c r="V460"/>
      <c r="W460"/>
      <c r="X460"/>
      <c r="Y460"/>
      <c r="Z460"/>
      <c r="AA460"/>
      <c r="AB460"/>
      <c r="AC460"/>
      <c r="AD460"/>
      <c r="AE460"/>
      <c r="AF460"/>
      <c r="AG460"/>
      <c r="AH460"/>
      <c r="AI460"/>
      <c r="AJ460"/>
      <c r="AK460"/>
      <c r="AL460"/>
    </row>
    <row r="461" spans="13:38">
      <c r="M461"/>
      <c r="N461"/>
      <c r="O461"/>
      <c r="P461"/>
      <c r="Q461"/>
      <c r="R461"/>
      <c r="S461"/>
      <c r="T461"/>
      <c r="U461"/>
      <c r="V461"/>
      <c r="W461"/>
      <c r="X461"/>
      <c r="Y461"/>
      <c r="Z461"/>
      <c r="AA461"/>
      <c r="AB461"/>
      <c r="AC461"/>
      <c r="AD461"/>
      <c r="AE461"/>
      <c r="AF461"/>
      <c r="AG461"/>
      <c r="AH461"/>
      <c r="AI461"/>
      <c r="AJ461"/>
      <c r="AK461"/>
      <c r="AL461"/>
    </row>
    <row r="462" spans="13:38">
      <c r="M462"/>
      <c r="N462"/>
      <c r="O462"/>
      <c r="P462"/>
      <c r="Q462"/>
      <c r="R462"/>
      <c r="S462"/>
      <c r="T462"/>
      <c r="U462"/>
      <c r="V462"/>
      <c r="W462"/>
      <c r="X462"/>
      <c r="Y462"/>
      <c r="Z462"/>
      <c r="AA462"/>
      <c r="AB462"/>
      <c r="AC462"/>
      <c r="AD462"/>
      <c r="AE462"/>
      <c r="AF462"/>
      <c r="AG462"/>
      <c r="AH462"/>
      <c r="AI462"/>
      <c r="AJ462"/>
      <c r="AK462"/>
      <c r="AL462"/>
    </row>
    <row r="463" spans="13:38">
      <c r="M463"/>
      <c r="N463"/>
      <c r="O463"/>
      <c r="P463"/>
      <c r="Q463"/>
      <c r="R463"/>
      <c r="S463"/>
      <c r="T463"/>
      <c r="U463"/>
      <c r="V463"/>
      <c r="W463"/>
      <c r="X463"/>
      <c r="Y463"/>
      <c r="Z463"/>
      <c r="AA463"/>
      <c r="AB463"/>
      <c r="AC463"/>
      <c r="AD463"/>
      <c r="AE463"/>
      <c r="AF463"/>
      <c r="AG463"/>
      <c r="AH463"/>
      <c r="AI463"/>
      <c r="AJ463"/>
      <c r="AK463"/>
      <c r="AL463"/>
    </row>
    <row r="464" spans="13:38">
      <c r="M464"/>
      <c r="N464"/>
      <c r="O464"/>
      <c r="P464"/>
      <c r="Q464"/>
      <c r="R464"/>
      <c r="S464"/>
      <c r="T464"/>
      <c r="U464"/>
      <c r="V464"/>
      <c r="W464"/>
      <c r="X464"/>
      <c r="Y464"/>
      <c r="Z464"/>
      <c r="AA464"/>
      <c r="AB464"/>
      <c r="AC464"/>
      <c r="AD464"/>
      <c r="AE464"/>
      <c r="AF464"/>
      <c r="AG464"/>
      <c r="AH464"/>
      <c r="AI464"/>
      <c r="AJ464"/>
      <c r="AK464"/>
      <c r="AL464"/>
    </row>
    <row r="465" spans="13:38">
      <c r="M465"/>
      <c r="N465"/>
      <c r="O465"/>
      <c r="P465"/>
      <c r="Q465"/>
      <c r="R465"/>
      <c r="S465"/>
      <c r="T465"/>
      <c r="U465"/>
      <c r="V465"/>
      <c r="W465"/>
      <c r="X465"/>
      <c r="Y465"/>
      <c r="Z465"/>
      <c r="AA465"/>
      <c r="AB465"/>
      <c r="AC465"/>
      <c r="AD465"/>
      <c r="AE465"/>
      <c r="AF465"/>
      <c r="AG465"/>
      <c r="AH465"/>
      <c r="AI465"/>
      <c r="AJ465"/>
      <c r="AK465"/>
      <c r="AL465"/>
    </row>
    <row r="466" spans="13:38">
      <c r="M466"/>
      <c r="N466"/>
      <c r="O466"/>
      <c r="P466"/>
      <c r="Q466"/>
      <c r="R466"/>
      <c r="S466"/>
      <c r="T466"/>
      <c r="U466"/>
      <c r="V466"/>
      <c r="W466"/>
      <c r="X466"/>
      <c r="Y466"/>
      <c r="Z466"/>
      <c r="AA466"/>
      <c r="AB466"/>
      <c r="AC466"/>
      <c r="AD466"/>
      <c r="AE466"/>
      <c r="AF466"/>
      <c r="AG466"/>
      <c r="AH466"/>
      <c r="AI466"/>
      <c r="AJ466"/>
      <c r="AK466"/>
      <c r="AL466"/>
    </row>
    <row r="467" spans="13:38">
      <c r="M467"/>
      <c r="N467"/>
      <c r="O467"/>
      <c r="P467"/>
      <c r="Q467"/>
      <c r="R467"/>
      <c r="S467"/>
      <c r="T467"/>
      <c r="U467"/>
      <c r="V467"/>
      <c r="W467"/>
      <c r="X467"/>
      <c r="Y467"/>
      <c r="Z467"/>
      <c r="AA467"/>
      <c r="AB467"/>
      <c r="AC467"/>
      <c r="AD467"/>
      <c r="AE467"/>
      <c r="AF467"/>
      <c r="AG467"/>
      <c r="AH467"/>
      <c r="AI467"/>
      <c r="AJ467"/>
      <c r="AK467"/>
      <c r="AL467"/>
    </row>
    <row r="468" spans="13:38">
      <c r="M468"/>
      <c r="N468"/>
      <c r="O468"/>
      <c r="P468"/>
      <c r="Q468"/>
      <c r="R468"/>
      <c r="S468"/>
      <c r="T468"/>
      <c r="U468"/>
      <c r="V468"/>
      <c r="W468"/>
      <c r="X468"/>
      <c r="Y468"/>
      <c r="Z468"/>
      <c r="AA468"/>
      <c r="AB468"/>
      <c r="AC468"/>
      <c r="AD468"/>
      <c r="AE468"/>
      <c r="AF468"/>
      <c r="AG468"/>
      <c r="AH468"/>
      <c r="AI468"/>
      <c r="AJ468"/>
      <c r="AK468"/>
      <c r="AL468"/>
    </row>
    <row r="469" spans="13:38">
      <c r="M469"/>
      <c r="N469"/>
      <c r="O469"/>
      <c r="P469"/>
      <c r="Q469"/>
      <c r="R469"/>
      <c r="S469"/>
      <c r="T469"/>
      <c r="U469"/>
      <c r="V469"/>
      <c r="W469"/>
      <c r="X469"/>
      <c r="Y469"/>
      <c r="Z469"/>
      <c r="AA469"/>
      <c r="AB469"/>
      <c r="AC469"/>
      <c r="AD469"/>
      <c r="AE469"/>
      <c r="AF469"/>
      <c r="AG469"/>
      <c r="AH469"/>
      <c r="AI469"/>
      <c r="AJ469"/>
      <c r="AK469"/>
      <c r="AL469"/>
    </row>
    <row r="470" spans="13:38">
      <c r="M470"/>
      <c r="N470"/>
      <c r="O470"/>
      <c r="P470"/>
      <c r="Q470"/>
      <c r="R470"/>
      <c r="S470"/>
      <c r="T470"/>
      <c r="U470"/>
      <c r="V470"/>
      <c r="W470"/>
      <c r="X470"/>
      <c r="Y470"/>
      <c r="Z470"/>
      <c r="AA470"/>
      <c r="AB470"/>
      <c r="AC470"/>
      <c r="AD470"/>
      <c r="AE470"/>
      <c r="AF470"/>
      <c r="AG470"/>
      <c r="AH470"/>
      <c r="AI470"/>
      <c r="AJ470"/>
      <c r="AK470"/>
      <c r="AL470"/>
    </row>
    <row r="471" spans="13:38">
      <c r="M471"/>
      <c r="N471"/>
      <c r="O471"/>
      <c r="P471"/>
      <c r="Q471"/>
      <c r="R471"/>
      <c r="S471"/>
      <c r="T471"/>
      <c r="U471"/>
      <c r="V471"/>
      <c r="W471"/>
      <c r="X471"/>
      <c r="Y471"/>
      <c r="Z471"/>
      <c r="AA471"/>
      <c r="AB471"/>
      <c r="AC471"/>
      <c r="AD471"/>
      <c r="AE471"/>
      <c r="AF471"/>
      <c r="AG471"/>
      <c r="AH471"/>
      <c r="AI471"/>
      <c r="AJ471"/>
      <c r="AK471"/>
      <c r="AL471"/>
    </row>
    <row r="472" spans="13:38">
      <c r="M472"/>
      <c r="N472"/>
      <c r="O472"/>
      <c r="P472"/>
      <c r="Q472"/>
      <c r="R472"/>
      <c r="S472"/>
      <c r="T472"/>
      <c r="U472"/>
      <c r="V472"/>
      <c r="W472"/>
      <c r="X472"/>
      <c r="Y472"/>
      <c r="Z472"/>
      <c r="AA472"/>
      <c r="AB472"/>
      <c r="AC472"/>
      <c r="AD472"/>
      <c r="AE472"/>
      <c r="AF472"/>
      <c r="AG472"/>
      <c r="AH472"/>
      <c r="AI472"/>
      <c r="AJ472"/>
      <c r="AK472"/>
      <c r="AL472"/>
    </row>
    <row r="473" spans="13:38">
      <c r="M473"/>
      <c r="N473"/>
      <c r="O473"/>
      <c r="P473"/>
      <c r="Q473"/>
      <c r="R473"/>
      <c r="S473"/>
      <c r="T473"/>
      <c r="U473"/>
      <c r="V473"/>
      <c r="W473"/>
      <c r="X473"/>
      <c r="Y473"/>
      <c r="Z473"/>
      <c r="AA473"/>
      <c r="AB473"/>
      <c r="AC473"/>
      <c r="AD473"/>
      <c r="AE473"/>
      <c r="AF473"/>
      <c r="AG473"/>
      <c r="AH473"/>
      <c r="AI473"/>
      <c r="AJ473"/>
      <c r="AK473"/>
      <c r="AL473"/>
    </row>
    <row r="474" spans="13:38">
      <c r="M474"/>
      <c r="N474"/>
      <c r="O474"/>
      <c r="P474"/>
      <c r="Q474"/>
      <c r="R474"/>
      <c r="S474"/>
      <c r="T474"/>
      <c r="U474"/>
      <c r="V474"/>
      <c r="W474"/>
      <c r="X474"/>
      <c r="Y474"/>
      <c r="Z474"/>
      <c r="AA474"/>
      <c r="AB474"/>
      <c r="AC474"/>
      <c r="AD474"/>
      <c r="AE474"/>
      <c r="AF474"/>
      <c r="AG474"/>
      <c r="AH474"/>
      <c r="AI474"/>
      <c r="AJ474"/>
      <c r="AK474"/>
      <c r="AL474"/>
    </row>
    <row r="475" spans="13:38">
      <c r="M475"/>
      <c r="N475"/>
      <c r="O475"/>
      <c r="P475"/>
      <c r="Q475"/>
      <c r="R475"/>
      <c r="S475"/>
      <c r="T475"/>
      <c r="U475"/>
      <c r="V475"/>
      <c r="W475"/>
      <c r="X475"/>
      <c r="Y475"/>
      <c r="Z475"/>
      <c r="AA475"/>
      <c r="AB475"/>
      <c r="AC475"/>
      <c r="AD475"/>
      <c r="AE475"/>
      <c r="AF475"/>
      <c r="AG475"/>
      <c r="AH475"/>
      <c r="AI475"/>
      <c r="AJ475"/>
      <c r="AK475"/>
      <c r="AL475"/>
    </row>
    <row r="476" spans="13:38">
      <c r="M476"/>
      <c r="N476"/>
      <c r="O476"/>
      <c r="P476"/>
      <c r="Q476"/>
      <c r="R476"/>
      <c r="S476"/>
      <c r="T476"/>
      <c r="U476"/>
      <c r="V476"/>
      <c r="W476"/>
      <c r="X476"/>
      <c r="Y476"/>
      <c r="Z476"/>
      <c r="AA476"/>
      <c r="AB476"/>
      <c r="AC476"/>
      <c r="AD476"/>
      <c r="AE476"/>
      <c r="AF476"/>
      <c r="AG476"/>
      <c r="AH476"/>
      <c r="AI476"/>
      <c r="AJ476"/>
      <c r="AK476"/>
      <c r="AL476"/>
    </row>
    <row r="477" spans="13:38">
      <c r="M477"/>
      <c r="N477"/>
      <c r="O477"/>
      <c r="P477"/>
      <c r="Q477"/>
      <c r="R477"/>
      <c r="S477"/>
      <c r="T477"/>
      <c r="U477"/>
      <c r="V477"/>
      <c r="W477"/>
      <c r="X477"/>
      <c r="Y477"/>
      <c r="Z477"/>
      <c r="AA477"/>
      <c r="AB477"/>
      <c r="AC477"/>
      <c r="AD477"/>
      <c r="AE477"/>
      <c r="AF477"/>
      <c r="AG477"/>
      <c r="AH477"/>
      <c r="AI477"/>
      <c r="AJ477"/>
      <c r="AK477"/>
      <c r="AL477"/>
    </row>
    <row r="478" spans="13:38">
      <c r="M478"/>
      <c r="N478"/>
      <c r="O478"/>
      <c r="P478"/>
      <c r="Q478"/>
      <c r="R478"/>
      <c r="S478"/>
      <c r="T478"/>
      <c r="U478"/>
      <c r="V478"/>
      <c r="W478"/>
      <c r="X478"/>
      <c r="Y478"/>
      <c r="Z478"/>
      <c r="AA478"/>
      <c r="AB478"/>
      <c r="AC478"/>
      <c r="AD478"/>
      <c r="AE478"/>
      <c r="AF478"/>
      <c r="AG478"/>
      <c r="AH478"/>
      <c r="AI478"/>
      <c r="AJ478"/>
      <c r="AK478"/>
      <c r="AL478"/>
    </row>
    <row r="479" spans="13:38">
      <c r="M479"/>
      <c r="N479"/>
      <c r="O479"/>
      <c r="P479"/>
      <c r="Q479"/>
      <c r="R479"/>
      <c r="S479"/>
      <c r="T479"/>
      <c r="U479"/>
      <c r="V479"/>
      <c r="W479"/>
      <c r="X479"/>
      <c r="Y479"/>
      <c r="Z479"/>
      <c r="AA479"/>
      <c r="AB479"/>
      <c r="AC479"/>
      <c r="AD479"/>
      <c r="AE479"/>
      <c r="AF479"/>
      <c r="AG479"/>
      <c r="AH479"/>
      <c r="AI479"/>
      <c r="AJ479"/>
      <c r="AK479"/>
      <c r="AL479"/>
    </row>
    <row r="480" spans="13:38">
      <c r="M480"/>
      <c r="N480"/>
      <c r="O480"/>
      <c r="P480"/>
      <c r="Q480"/>
      <c r="R480"/>
      <c r="S480"/>
      <c r="T480"/>
      <c r="U480"/>
      <c r="V480"/>
      <c r="W480"/>
      <c r="X480"/>
      <c r="Y480"/>
      <c r="Z480"/>
      <c r="AA480"/>
      <c r="AB480"/>
      <c r="AC480"/>
      <c r="AD480"/>
      <c r="AE480"/>
      <c r="AF480"/>
      <c r="AG480"/>
      <c r="AH480"/>
      <c r="AI480"/>
      <c r="AJ480"/>
      <c r="AK480"/>
      <c r="AL480"/>
    </row>
    <row r="481" spans="13:38">
      <c r="M481"/>
      <c r="N481"/>
      <c r="O481"/>
      <c r="P481"/>
      <c r="Q481"/>
      <c r="R481"/>
      <c r="S481"/>
      <c r="T481"/>
      <c r="U481"/>
      <c r="V481"/>
      <c r="W481"/>
      <c r="X481"/>
      <c r="Y481"/>
      <c r="Z481"/>
      <c r="AA481"/>
      <c r="AB481"/>
      <c r="AC481"/>
      <c r="AD481"/>
      <c r="AE481"/>
      <c r="AF481"/>
      <c r="AG481"/>
      <c r="AH481"/>
      <c r="AI481"/>
      <c r="AJ481"/>
      <c r="AK481"/>
      <c r="AL481"/>
    </row>
    <row r="482" spans="13:38">
      <c r="M482"/>
      <c r="N482"/>
      <c r="O482"/>
      <c r="P482"/>
      <c r="Q482"/>
      <c r="R482"/>
      <c r="S482"/>
      <c r="T482"/>
      <c r="U482"/>
      <c r="V482"/>
      <c r="W482"/>
      <c r="X482"/>
      <c r="Y482"/>
      <c r="Z482"/>
      <c r="AA482"/>
      <c r="AB482"/>
      <c r="AC482"/>
      <c r="AD482"/>
      <c r="AE482"/>
      <c r="AF482"/>
      <c r="AG482"/>
      <c r="AH482"/>
      <c r="AI482"/>
      <c r="AJ482"/>
      <c r="AK482"/>
      <c r="AL482"/>
    </row>
    <row r="483" spans="13:38">
      <c r="M483"/>
      <c r="N483"/>
      <c r="O483"/>
      <c r="P483"/>
      <c r="Q483"/>
      <c r="R483"/>
      <c r="S483"/>
      <c r="T483"/>
      <c r="U483"/>
      <c r="V483"/>
      <c r="W483"/>
      <c r="X483"/>
      <c r="Y483"/>
      <c r="Z483"/>
      <c r="AA483"/>
      <c r="AB483"/>
      <c r="AC483"/>
      <c r="AD483"/>
      <c r="AE483"/>
      <c r="AF483"/>
      <c r="AG483"/>
      <c r="AH483"/>
      <c r="AI483"/>
      <c r="AJ483"/>
      <c r="AK483"/>
      <c r="AL483"/>
    </row>
    <row r="484" spans="13:38">
      <c r="M484"/>
      <c r="N484"/>
      <c r="O484"/>
      <c r="P484"/>
      <c r="Q484"/>
      <c r="R484"/>
      <c r="S484"/>
      <c r="T484"/>
      <c r="U484"/>
      <c r="V484"/>
      <c r="W484"/>
      <c r="X484"/>
      <c r="Y484"/>
      <c r="Z484"/>
      <c r="AA484"/>
      <c r="AB484"/>
      <c r="AC484"/>
      <c r="AD484"/>
      <c r="AE484"/>
      <c r="AF484"/>
      <c r="AG484"/>
      <c r="AH484"/>
      <c r="AI484"/>
      <c r="AJ484"/>
      <c r="AK484"/>
      <c r="AL484"/>
    </row>
    <row r="485" spans="13:38">
      <c r="M485"/>
      <c r="N485"/>
      <c r="O485"/>
      <c r="P485"/>
      <c r="Q485"/>
      <c r="R485"/>
      <c r="S485"/>
      <c r="T485"/>
      <c r="U485"/>
      <c r="V485"/>
      <c r="W485"/>
      <c r="X485"/>
      <c r="Y485"/>
      <c r="Z485"/>
      <c r="AA485"/>
      <c r="AB485"/>
      <c r="AC485"/>
      <c r="AD485"/>
      <c r="AE485"/>
      <c r="AF485"/>
      <c r="AG485"/>
      <c r="AH485"/>
      <c r="AI485"/>
      <c r="AJ485"/>
      <c r="AK485"/>
      <c r="AL485"/>
    </row>
    <row r="486" spans="13:38">
      <c r="M486"/>
      <c r="N486"/>
      <c r="O486"/>
      <c r="P486"/>
      <c r="Q486"/>
      <c r="R486"/>
      <c r="S486"/>
      <c r="T486"/>
      <c r="U486"/>
      <c r="V486"/>
      <c r="W486"/>
      <c r="X486"/>
      <c r="Y486"/>
      <c r="Z486"/>
      <c r="AA486"/>
      <c r="AB486"/>
      <c r="AC486"/>
      <c r="AD486"/>
      <c r="AE486"/>
      <c r="AF486"/>
      <c r="AG486"/>
      <c r="AH486"/>
      <c r="AI486"/>
      <c r="AJ486"/>
      <c r="AK486"/>
      <c r="AL486"/>
    </row>
    <row r="487" spans="13:38">
      <c r="M487"/>
      <c r="N487"/>
      <c r="O487"/>
      <c r="P487"/>
      <c r="Q487"/>
      <c r="R487"/>
      <c r="S487"/>
      <c r="T487"/>
      <c r="U487"/>
      <c r="V487"/>
      <c r="W487"/>
      <c r="X487"/>
      <c r="Y487"/>
      <c r="Z487"/>
      <c r="AA487"/>
      <c r="AB487"/>
      <c r="AC487"/>
      <c r="AD487"/>
      <c r="AE487"/>
      <c r="AF487"/>
      <c r="AG487"/>
      <c r="AH487"/>
      <c r="AI487"/>
      <c r="AJ487"/>
      <c r="AK487"/>
      <c r="AL487"/>
    </row>
    <row r="488" spans="13:38">
      <c r="M488"/>
      <c r="N488"/>
      <c r="O488"/>
      <c r="P488"/>
      <c r="Q488"/>
      <c r="R488"/>
      <c r="S488"/>
      <c r="T488"/>
      <c r="U488"/>
      <c r="V488"/>
      <c r="W488"/>
      <c r="X488"/>
      <c r="Y488"/>
      <c r="Z488"/>
      <c r="AA488"/>
      <c r="AB488"/>
      <c r="AC488"/>
      <c r="AD488"/>
      <c r="AE488"/>
      <c r="AF488"/>
      <c r="AG488"/>
      <c r="AH488"/>
      <c r="AI488"/>
      <c r="AJ488"/>
      <c r="AK488"/>
      <c r="AL488"/>
    </row>
    <row r="489" spans="13:38">
      <c r="M489"/>
      <c r="N489"/>
      <c r="O489"/>
      <c r="P489"/>
      <c r="Q489"/>
      <c r="R489"/>
      <c r="S489"/>
      <c r="T489"/>
      <c r="U489"/>
      <c r="V489"/>
      <c r="W489"/>
      <c r="X489"/>
      <c r="Y489"/>
      <c r="Z489"/>
      <c r="AA489"/>
      <c r="AB489"/>
      <c r="AC489"/>
      <c r="AD489"/>
      <c r="AE489"/>
      <c r="AF489"/>
      <c r="AG489"/>
      <c r="AH489"/>
      <c r="AI489"/>
      <c r="AJ489"/>
      <c r="AK489"/>
      <c r="AL489"/>
    </row>
    <row r="490" spans="13:38">
      <c r="M490"/>
      <c r="N490"/>
      <c r="O490"/>
      <c r="P490"/>
      <c r="Q490"/>
      <c r="R490"/>
      <c r="S490"/>
      <c r="T490"/>
      <c r="U490"/>
      <c r="V490"/>
      <c r="W490"/>
      <c r="X490"/>
      <c r="Y490"/>
      <c r="Z490"/>
      <c r="AA490"/>
      <c r="AB490"/>
      <c r="AC490"/>
      <c r="AD490"/>
      <c r="AE490"/>
      <c r="AF490"/>
      <c r="AG490"/>
      <c r="AH490"/>
      <c r="AI490"/>
      <c r="AJ490"/>
      <c r="AK490"/>
      <c r="AL490"/>
    </row>
    <row r="491" spans="13:38">
      <c r="M491"/>
      <c r="N491"/>
      <c r="O491"/>
      <c r="P491"/>
      <c r="Q491"/>
      <c r="R491"/>
      <c r="S491"/>
      <c r="T491"/>
      <c r="U491"/>
      <c r="V491"/>
      <c r="W491"/>
      <c r="X491"/>
      <c r="Y491"/>
      <c r="Z491"/>
      <c r="AA491"/>
      <c r="AB491"/>
      <c r="AC491"/>
      <c r="AD491"/>
      <c r="AE491"/>
      <c r="AF491"/>
      <c r="AG491"/>
      <c r="AH491"/>
      <c r="AI491"/>
      <c r="AJ491"/>
      <c r="AK491"/>
      <c r="AL491"/>
    </row>
    <row r="492" spans="13:38">
      <c r="M492"/>
      <c r="N492"/>
      <c r="O492"/>
      <c r="P492"/>
      <c r="Q492"/>
      <c r="R492"/>
      <c r="S492"/>
      <c r="T492"/>
      <c r="U492"/>
      <c r="V492"/>
      <c r="W492"/>
      <c r="X492"/>
      <c r="Y492"/>
      <c r="Z492"/>
      <c r="AA492"/>
      <c r="AB492"/>
      <c r="AC492"/>
      <c r="AD492"/>
      <c r="AE492"/>
      <c r="AF492"/>
      <c r="AG492"/>
      <c r="AH492"/>
      <c r="AI492"/>
      <c r="AJ492"/>
      <c r="AK492"/>
      <c r="AL492"/>
    </row>
    <row r="493" spans="13:38">
      <c r="M493"/>
      <c r="N493"/>
      <c r="O493"/>
      <c r="P493"/>
      <c r="Q493"/>
      <c r="R493"/>
      <c r="S493"/>
      <c r="T493"/>
      <c r="U493"/>
      <c r="V493"/>
      <c r="W493"/>
      <c r="X493"/>
      <c r="Y493"/>
      <c r="Z493"/>
      <c r="AA493"/>
      <c r="AB493"/>
      <c r="AC493"/>
      <c r="AD493"/>
      <c r="AE493"/>
      <c r="AF493"/>
      <c r="AG493"/>
      <c r="AH493"/>
      <c r="AI493"/>
      <c r="AJ493"/>
      <c r="AK493"/>
      <c r="AL493"/>
    </row>
    <row r="494" spans="13:38">
      <c r="M494"/>
      <c r="N494"/>
      <c r="O494"/>
      <c r="P494"/>
      <c r="Q494"/>
      <c r="R494"/>
      <c r="S494"/>
      <c r="T494"/>
      <c r="U494"/>
      <c r="V494"/>
      <c r="W494"/>
      <c r="X494"/>
      <c r="Y494"/>
      <c r="Z494"/>
      <c r="AA494"/>
      <c r="AB494"/>
      <c r="AC494"/>
      <c r="AD494"/>
      <c r="AE494"/>
      <c r="AF494"/>
      <c r="AG494"/>
      <c r="AH494"/>
      <c r="AI494"/>
      <c r="AJ494"/>
      <c r="AK494"/>
      <c r="AL494"/>
    </row>
    <row r="495" spans="13:38">
      <c r="M495"/>
      <c r="N495"/>
      <c r="O495"/>
      <c r="P495"/>
      <c r="Q495"/>
      <c r="R495"/>
      <c r="S495"/>
      <c r="T495"/>
      <c r="U495"/>
      <c r="V495"/>
      <c r="W495"/>
      <c r="X495"/>
      <c r="Y495"/>
      <c r="Z495"/>
      <c r="AA495"/>
      <c r="AB495"/>
      <c r="AC495"/>
      <c r="AD495"/>
      <c r="AE495"/>
      <c r="AF495"/>
      <c r="AG495"/>
      <c r="AH495"/>
      <c r="AI495"/>
      <c r="AJ495"/>
      <c r="AK495"/>
      <c r="AL495"/>
    </row>
    <row r="496" spans="13:38">
      <c r="M496"/>
      <c r="N496"/>
      <c r="O496"/>
      <c r="P496"/>
      <c r="Q496"/>
      <c r="R496"/>
      <c r="S496"/>
      <c r="T496"/>
      <c r="U496"/>
      <c r="V496"/>
      <c r="W496"/>
      <c r="X496"/>
      <c r="Y496"/>
      <c r="Z496"/>
      <c r="AA496"/>
      <c r="AB496"/>
      <c r="AC496"/>
      <c r="AD496"/>
      <c r="AE496"/>
      <c r="AF496"/>
      <c r="AG496"/>
      <c r="AH496"/>
      <c r="AI496"/>
      <c r="AJ496"/>
      <c r="AK496"/>
      <c r="AL496"/>
    </row>
    <row r="497" spans="13:38">
      <c r="M497"/>
      <c r="N497"/>
      <c r="O497"/>
      <c r="P497"/>
      <c r="Q497"/>
      <c r="R497"/>
      <c r="S497"/>
      <c r="T497"/>
      <c r="U497"/>
      <c r="V497"/>
      <c r="W497"/>
      <c r="X497"/>
      <c r="Y497"/>
      <c r="Z497"/>
      <c r="AA497"/>
      <c r="AB497"/>
      <c r="AC497"/>
      <c r="AD497"/>
      <c r="AE497"/>
      <c r="AF497"/>
      <c r="AG497"/>
      <c r="AH497"/>
      <c r="AI497"/>
      <c r="AJ497"/>
      <c r="AK497"/>
      <c r="AL497"/>
    </row>
    <row r="498" spans="13:38">
      <c r="M498"/>
      <c r="N498"/>
      <c r="O498"/>
      <c r="P498"/>
      <c r="Q498"/>
      <c r="R498"/>
      <c r="S498"/>
      <c r="T498"/>
      <c r="U498"/>
      <c r="V498"/>
      <c r="W498"/>
      <c r="X498"/>
      <c r="Y498"/>
      <c r="Z498"/>
      <c r="AA498"/>
      <c r="AB498"/>
      <c r="AC498"/>
      <c r="AD498"/>
      <c r="AE498"/>
      <c r="AF498"/>
      <c r="AG498"/>
      <c r="AH498"/>
      <c r="AI498"/>
      <c r="AJ498"/>
      <c r="AK498"/>
      <c r="AL498"/>
    </row>
    <row r="499" spans="13:38">
      <c r="M499"/>
      <c r="N499"/>
      <c r="O499"/>
      <c r="P499"/>
      <c r="Q499"/>
      <c r="R499"/>
      <c r="S499"/>
      <c r="T499"/>
      <c r="U499"/>
      <c r="V499"/>
      <c r="W499"/>
      <c r="X499"/>
      <c r="Y499"/>
      <c r="Z499"/>
      <c r="AA499"/>
      <c r="AB499"/>
      <c r="AC499"/>
      <c r="AD499"/>
      <c r="AE499"/>
      <c r="AF499"/>
      <c r="AG499"/>
      <c r="AH499"/>
      <c r="AI499"/>
      <c r="AJ499"/>
      <c r="AK499"/>
      <c r="AL499"/>
    </row>
    <row r="500" spans="13:38">
      <c r="M500"/>
      <c r="N500"/>
      <c r="O500"/>
      <c r="P500"/>
      <c r="Q500"/>
      <c r="R500"/>
      <c r="S500"/>
      <c r="T500"/>
      <c r="U500"/>
      <c r="V500"/>
      <c r="W500"/>
      <c r="X500"/>
      <c r="Y500"/>
      <c r="Z500"/>
      <c r="AA500"/>
      <c r="AB500"/>
      <c r="AC500"/>
      <c r="AD500"/>
      <c r="AE500"/>
      <c r="AF500"/>
      <c r="AG500"/>
      <c r="AH500"/>
      <c r="AI500"/>
      <c r="AJ500"/>
      <c r="AK500"/>
      <c r="AL500"/>
    </row>
    <row r="501" spans="13:38">
      <c r="M501"/>
      <c r="N501"/>
      <c r="O501"/>
      <c r="P501"/>
      <c r="Q501"/>
      <c r="R501"/>
      <c r="S501"/>
      <c r="T501"/>
      <c r="U501"/>
      <c r="V501"/>
      <c r="W501"/>
      <c r="X501"/>
      <c r="Y501"/>
      <c r="Z501"/>
      <c r="AA501"/>
      <c r="AB501"/>
      <c r="AC501"/>
      <c r="AD501"/>
      <c r="AE501"/>
      <c r="AF501"/>
      <c r="AG501"/>
      <c r="AH501"/>
      <c r="AI501"/>
      <c r="AJ501"/>
      <c r="AK501"/>
      <c r="AL501"/>
    </row>
    <row r="502" spans="13:38">
      <c r="M502"/>
      <c r="N502"/>
      <c r="O502"/>
      <c r="P502"/>
      <c r="Q502"/>
      <c r="R502"/>
      <c r="S502"/>
      <c r="T502"/>
      <c r="U502"/>
      <c r="V502"/>
      <c r="W502"/>
      <c r="X502"/>
      <c r="Y502"/>
      <c r="Z502"/>
      <c r="AA502"/>
      <c r="AB502"/>
      <c r="AC502"/>
      <c r="AD502"/>
      <c r="AE502"/>
      <c r="AF502"/>
      <c r="AG502"/>
      <c r="AH502"/>
      <c r="AI502"/>
      <c r="AJ502"/>
      <c r="AK502"/>
      <c r="AL502"/>
    </row>
    <row r="503" spans="13:38">
      <c r="M503"/>
      <c r="N503"/>
      <c r="O503"/>
      <c r="P503"/>
      <c r="Q503"/>
      <c r="R503"/>
      <c r="S503"/>
      <c r="T503"/>
      <c r="U503"/>
      <c r="V503"/>
      <c r="W503"/>
      <c r="X503"/>
      <c r="Y503"/>
      <c r="Z503"/>
      <c r="AA503"/>
      <c r="AB503"/>
      <c r="AC503"/>
      <c r="AD503"/>
      <c r="AE503"/>
      <c r="AF503"/>
      <c r="AG503"/>
      <c r="AH503"/>
      <c r="AI503"/>
      <c r="AJ503"/>
      <c r="AK503"/>
      <c r="AL503"/>
    </row>
    <row r="504" spans="13:38">
      <c r="M504"/>
      <c r="N504"/>
      <c r="O504"/>
      <c r="P504"/>
      <c r="Q504"/>
      <c r="R504"/>
      <c r="S504"/>
      <c r="T504"/>
      <c r="U504"/>
      <c r="V504"/>
      <c r="W504"/>
      <c r="X504"/>
      <c r="Y504"/>
      <c r="Z504"/>
      <c r="AA504"/>
      <c r="AB504"/>
      <c r="AC504"/>
      <c r="AD504"/>
      <c r="AE504"/>
      <c r="AF504"/>
      <c r="AG504"/>
      <c r="AH504"/>
      <c r="AI504"/>
      <c r="AJ504"/>
      <c r="AK504"/>
      <c r="AL504"/>
    </row>
    <row r="505" spans="13:38">
      <c r="M505"/>
      <c r="N505"/>
      <c r="O505"/>
      <c r="P505"/>
      <c r="Q505"/>
      <c r="R505"/>
      <c r="S505"/>
      <c r="T505"/>
      <c r="U505"/>
      <c r="V505"/>
      <c r="W505"/>
      <c r="X505"/>
      <c r="Y505"/>
      <c r="Z505"/>
      <c r="AA505"/>
      <c r="AB505"/>
      <c r="AC505"/>
      <c r="AD505"/>
      <c r="AE505"/>
      <c r="AF505"/>
      <c r="AG505"/>
      <c r="AH505"/>
      <c r="AI505"/>
      <c r="AJ505"/>
      <c r="AK505"/>
      <c r="AL505"/>
    </row>
    <row r="506" spans="13:38">
      <c r="M506"/>
      <c r="N506"/>
      <c r="O506"/>
      <c r="P506"/>
      <c r="Q506"/>
      <c r="R506"/>
      <c r="S506"/>
      <c r="T506"/>
      <c r="U506"/>
      <c r="V506"/>
      <c r="W506"/>
      <c r="X506"/>
      <c r="Y506"/>
      <c r="Z506"/>
      <c r="AA506"/>
      <c r="AB506"/>
      <c r="AC506"/>
      <c r="AD506"/>
      <c r="AE506"/>
      <c r="AF506"/>
      <c r="AG506"/>
      <c r="AH506"/>
      <c r="AI506"/>
      <c r="AJ506"/>
      <c r="AK506"/>
      <c r="AL506"/>
    </row>
    <row r="507" spans="13:38">
      <c r="M507"/>
      <c r="N507"/>
      <c r="O507"/>
      <c r="P507"/>
      <c r="Q507"/>
      <c r="R507"/>
      <c r="S507"/>
      <c r="T507"/>
      <c r="U507"/>
      <c r="V507"/>
      <c r="W507"/>
      <c r="X507"/>
      <c r="Y507"/>
      <c r="Z507"/>
      <c r="AA507"/>
      <c r="AB507"/>
      <c r="AC507"/>
      <c r="AD507"/>
      <c r="AE507"/>
      <c r="AF507"/>
      <c r="AG507"/>
      <c r="AH507"/>
      <c r="AI507"/>
      <c r="AJ507"/>
      <c r="AK507"/>
      <c r="AL507"/>
    </row>
    <row r="508" spans="13:38">
      <c r="M508"/>
      <c r="N508"/>
      <c r="O508"/>
      <c r="P508"/>
      <c r="Q508"/>
      <c r="R508"/>
      <c r="S508"/>
      <c r="T508"/>
      <c r="U508"/>
      <c r="V508"/>
      <c r="W508"/>
      <c r="X508"/>
      <c r="Y508"/>
      <c r="Z508"/>
      <c r="AA508"/>
      <c r="AB508"/>
      <c r="AC508"/>
      <c r="AD508"/>
      <c r="AE508"/>
      <c r="AF508"/>
      <c r="AG508"/>
      <c r="AH508"/>
      <c r="AI508"/>
      <c r="AJ508"/>
      <c r="AK508"/>
      <c r="AL508"/>
    </row>
  </sheetData>
  <mergeCells count="8">
    <mergeCell ref="S16:S17"/>
    <mergeCell ref="O17:P17"/>
    <mergeCell ref="B24:B31"/>
    <mergeCell ref="B32:B39"/>
    <mergeCell ref="B4:G4"/>
    <mergeCell ref="B6:B7"/>
    <mergeCell ref="B8:B15"/>
    <mergeCell ref="B16:B23"/>
  </mergeCells>
  <phoneticPr fontId="2"/>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90704-FFF5-4CB5-85E0-6EFC1F8803EC}">
  <sheetPr codeName="Sheet40"/>
  <dimension ref="A1:V66"/>
  <sheetViews>
    <sheetView showGridLines="0" view="pageBreakPreview" topLeftCell="A37" zoomScaleNormal="100" zoomScaleSheetLayoutView="100" workbookViewId="0">
      <selection activeCell="C67" sqref="C67"/>
    </sheetView>
  </sheetViews>
  <sheetFormatPr defaultColWidth="9.90625" defaultRowHeight="14"/>
  <cols>
    <col min="1" max="1" width="0.90625" style="927" customWidth="1"/>
    <col min="2" max="2" width="3.453125" style="927" customWidth="1"/>
    <col min="3" max="3" width="9.90625" style="927"/>
    <col min="4" max="4" width="12.90625" style="927" customWidth="1"/>
    <col min="5" max="5" width="13.453125" style="927" customWidth="1"/>
    <col min="6" max="6" width="7.36328125" style="927" customWidth="1"/>
    <col min="7" max="7" width="6.453125" style="927" bestFit="1" customWidth="1"/>
    <col min="8" max="8" width="7.6328125" style="927" bestFit="1" customWidth="1"/>
    <col min="9" max="9" width="3.90625" style="927" customWidth="1"/>
    <col min="10" max="10" width="8.7265625" style="927" bestFit="1" customWidth="1"/>
    <col min="11" max="11" width="5.7265625" style="927" bestFit="1" customWidth="1"/>
    <col min="12" max="12" width="6.6328125" style="927" customWidth="1"/>
    <col min="13" max="13" width="9.26953125" style="927" customWidth="1"/>
    <col min="14" max="14" width="0.90625" style="927" customWidth="1"/>
    <col min="15" max="18" width="9.26953125" style="927" customWidth="1"/>
    <col min="19" max="19" width="9.90625" style="931"/>
    <col min="20" max="20" width="22.08984375" style="931" customWidth="1"/>
    <col min="21" max="21" width="23.36328125" style="931" customWidth="1"/>
    <col min="22" max="22" width="20.26953125" style="931" customWidth="1"/>
    <col min="23" max="16384" width="9.90625" style="931"/>
  </cols>
  <sheetData>
    <row r="1" spans="2:22" ht="15" customHeight="1">
      <c r="B1" s="2115" t="s">
        <v>1320</v>
      </c>
      <c r="C1" s="2115"/>
      <c r="D1" s="2115"/>
      <c r="E1" s="2115"/>
      <c r="F1" s="2115"/>
      <c r="G1" s="2115"/>
      <c r="H1" s="2115"/>
      <c r="I1" s="2115"/>
      <c r="J1" s="2115"/>
      <c r="K1" s="2115"/>
      <c r="L1" s="2115"/>
      <c r="M1" s="2115"/>
      <c r="U1" s="932" t="s">
        <v>1170</v>
      </c>
    </row>
    <row r="2" spans="2:22" ht="15" customHeight="1">
      <c r="C2" s="927" t="s">
        <v>1321</v>
      </c>
    </row>
    <row r="3" spans="2:22" ht="15" customHeight="1">
      <c r="C3" s="927" t="s">
        <v>1322</v>
      </c>
      <c r="T3" s="932" t="s">
        <v>887</v>
      </c>
      <c r="U3" s="932"/>
      <c r="V3" s="933" t="s">
        <v>1171</v>
      </c>
    </row>
    <row r="4" spans="2:22" ht="15" customHeight="1">
      <c r="C4" s="927" t="s">
        <v>1323</v>
      </c>
      <c r="T4" s="2112" t="s">
        <v>1172</v>
      </c>
      <c r="U4" s="934" t="s">
        <v>1173</v>
      </c>
      <c r="V4" s="935">
        <v>0.05</v>
      </c>
    </row>
    <row r="5" spans="2:22" ht="15" customHeight="1">
      <c r="C5" s="927" t="s">
        <v>1324</v>
      </c>
      <c r="T5" s="2113"/>
      <c r="U5" s="936" t="s">
        <v>1174</v>
      </c>
      <c r="V5" s="937">
        <v>4.4999999999999998E-2</v>
      </c>
    </row>
    <row r="6" spans="2:22" ht="15" customHeight="1">
      <c r="C6" s="927" t="s">
        <v>1325</v>
      </c>
      <c r="T6" s="2113"/>
      <c r="U6" s="934" t="s">
        <v>1176</v>
      </c>
      <c r="V6" s="935">
        <v>4.2000000000000003E-2</v>
      </c>
    </row>
    <row r="7" spans="2:22" ht="15" customHeight="1">
      <c r="E7" s="968" t="s">
        <v>1326</v>
      </c>
      <c r="F7" s="931"/>
      <c r="J7" s="931"/>
      <c r="T7" s="2113"/>
      <c r="U7" s="934" t="s">
        <v>1177</v>
      </c>
      <c r="V7" s="935">
        <v>3.7999999999999999E-2</v>
      </c>
    </row>
    <row r="8" spans="2:22" ht="15" customHeight="1">
      <c r="C8" s="927" t="s">
        <v>1327</v>
      </c>
      <c r="F8" s="968"/>
      <c r="J8" s="931"/>
      <c r="T8" s="2113"/>
      <c r="U8" s="934" t="s">
        <v>1178</v>
      </c>
      <c r="V8" s="935">
        <v>3.5999999999999997E-2</v>
      </c>
    </row>
    <row r="9" spans="2:22" ht="15" customHeight="1">
      <c r="C9" s="927" t="s">
        <v>1328</v>
      </c>
      <c r="T9" s="2113"/>
      <c r="U9" s="936" t="s">
        <v>1179</v>
      </c>
      <c r="V9" s="937">
        <v>3.5999999999999997E-2</v>
      </c>
    </row>
    <row r="10" spans="2:22" ht="15" customHeight="1">
      <c r="B10" s="927" t="s">
        <v>16</v>
      </c>
      <c r="C10" s="927" t="s">
        <v>1329</v>
      </c>
      <c r="T10" s="2113"/>
      <c r="U10" s="936" t="s">
        <v>1180</v>
      </c>
      <c r="V10" s="937">
        <v>3.5000000000000003E-2</v>
      </c>
    </row>
    <row r="11" spans="2:22" ht="15" customHeight="1">
      <c r="B11" s="927" t="s">
        <v>17</v>
      </c>
      <c r="C11" s="927" t="s">
        <v>1330</v>
      </c>
      <c r="T11" s="2113"/>
      <c r="U11" s="936" t="s">
        <v>1182</v>
      </c>
      <c r="V11" s="937">
        <v>3.3000000000000002E-2</v>
      </c>
    </row>
    <row r="12" spans="2:22" ht="15" customHeight="1">
      <c r="B12" s="927" t="s">
        <v>18</v>
      </c>
      <c r="C12" s="927" t="s">
        <v>1331</v>
      </c>
      <c r="T12" s="2114"/>
      <c r="U12" s="936" t="s">
        <v>1183</v>
      </c>
      <c r="V12" s="937">
        <v>3.3000000000000002E-2</v>
      </c>
    </row>
    <row r="13" spans="2:22" ht="15" customHeight="1">
      <c r="B13" s="927" t="s">
        <v>19</v>
      </c>
      <c r="C13" s="927" t="s">
        <v>1332</v>
      </c>
      <c r="T13" s="2112" t="s">
        <v>1184</v>
      </c>
      <c r="U13" s="936" t="s">
        <v>1185</v>
      </c>
      <c r="V13" s="937">
        <v>4.7E-2</v>
      </c>
    </row>
    <row r="14" spans="2:22" ht="15" customHeight="1">
      <c r="B14" s="928" t="s">
        <v>1333</v>
      </c>
      <c r="D14" s="928" t="s">
        <v>1334</v>
      </c>
      <c r="T14" s="2113"/>
      <c r="U14" s="936" t="s">
        <v>1186</v>
      </c>
      <c r="V14" s="937">
        <v>4.2999999999999997E-2</v>
      </c>
    </row>
    <row r="15" spans="2:22" ht="15" customHeight="1">
      <c r="D15" s="969" t="s">
        <v>1335</v>
      </c>
      <c r="E15" s="928" t="s">
        <v>1336</v>
      </c>
      <c r="T15" s="2113"/>
      <c r="U15" s="936" t="s">
        <v>1187</v>
      </c>
      <c r="V15" s="937">
        <v>3.7999999999999999E-2</v>
      </c>
    </row>
    <row r="16" spans="2:22" ht="15" customHeight="1">
      <c r="D16" s="969" t="s">
        <v>1337</v>
      </c>
      <c r="E16" s="928" t="s">
        <v>1338</v>
      </c>
      <c r="T16" s="2113"/>
      <c r="U16" s="936" t="s">
        <v>1189</v>
      </c>
      <c r="V16" s="937">
        <v>3.7999999999999999E-2</v>
      </c>
    </row>
    <row r="17" spans="2:22" ht="15" customHeight="1">
      <c r="D17" s="969" t="s">
        <v>1339</v>
      </c>
      <c r="E17" s="928" t="s">
        <v>1340</v>
      </c>
      <c r="T17" s="2113"/>
      <c r="U17" s="934" t="s">
        <v>1190</v>
      </c>
      <c r="V17" s="935">
        <v>3.5999999999999997E-2</v>
      </c>
    </row>
    <row r="18" spans="2:22" ht="15" customHeight="1">
      <c r="D18" s="969" t="s">
        <v>1341</v>
      </c>
      <c r="E18" s="928" t="s">
        <v>1342</v>
      </c>
      <c r="T18" s="2113"/>
      <c r="U18" s="936" t="s">
        <v>1191</v>
      </c>
      <c r="V18" s="937">
        <v>3.5999999999999997E-2</v>
      </c>
    </row>
    <row r="19" spans="2:22" ht="15" customHeight="1" thickBot="1">
      <c r="B19" s="928" t="s">
        <v>1343</v>
      </c>
      <c r="T19" s="2113"/>
      <c r="U19" s="934" t="s">
        <v>1192</v>
      </c>
      <c r="V19" s="935">
        <v>3.5000000000000003E-2</v>
      </c>
    </row>
    <row r="20" spans="2:22" ht="15" customHeight="1">
      <c r="B20" s="928"/>
      <c r="E20" s="2116" t="s">
        <v>1344</v>
      </c>
      <c r="F20" s="2117"/>
      <c r="G20" s="2117"/>
      <c r="H20" s="2117"/>
      <c r="I20" s="2117"/>
      <c r="J20" s="2117"/>
      <c r="K20" s="2118"/>
      <c r="T20" s="2113"/>
      <c r="U20" s="936" t="s">
        <v>1193</v>
      </c>
      <c r="V20" s="937">
        <v>3.4000000000000002E-2</v>
      </c>
    </row>
    <row r="21" spans="2:22" ht="15" customHeight="1" thickBot="1">
      <c r="B21" s="928"/>
      <c r="E21" s="2119"/>
      <c r="F21" s="2120"/>
      <c r="G21" s="2120"/>
      <c r="H21" s="2120"/>
      <c r="I21" s="2120"/>
      <c r="J21" s="2120"/>
      <c r="K21" s="2121"/>
      <c r="T21" s="2113"/>
      <c r="U21" s="936" t="s">
        <v>1194</v>
      </c>
      <c r="V21" s="937">
        <v>3.4000000000000002E-2</v>
      </c>
    </row>
    <row r="22" spans="2:22" ht="15" customHeight="1" thickBot="1">
      <c r="B22" s="928"/>
      <c r="E22" s="2122" t="s">
        <v>1345</v>
      </c>
      <c r="F22" s="2123"/>
      <c r="G22" s="2123"/>
      <c r="H22" s="2123"/>
      <c r="I22" s="2123"/>
      <c r="J22" s="2123"/>
      <c r="K22" s="2124"/>
      <c r="T22" s="2113"/>
      <c r="U22" s="934" t="s">
        <v>1195</v>
      </c>
      <c r="V22" s="935">
        <v>3.4000000000000002E-2</v>
      </c>
    </row>
    <row r="23" spans="2:22" ht="15" customHeight="1">
      <c r="T23" s="2114"/>
      <c r="U23" s="934" t="s">
        <v>1196</v>
      </c>
      <c r="V23" s="935">
        <v>3.3000000000000002E-2</v>
      </c>
    </row>
    <row r="24" spans="2:22" ht="15" customHeight="1">
      <c r="C24" s="927" t="s">
        <v>1346</v>
      </c>
      <c r="T24" s="2112" t="s">
        <v>1197</v>
      </c>
      <c r="U24" s="938" t="s">
        <v>1198</v>
      </c>
      <c r="V24" s="939">
        <v>5.1999999999999998E-2</v>
      </c>
    </row>
    <row r="25" spans="2:22" ht="15" customHeight="1">
      <c r="T25" s="2113"/>
      <c r="U25" s="938" t="s">
        <v>1199</v>
      </c>
      <c r="V25" s="939">
        <v>5.1999999999999998E-2</v>
      </c>
    </row>
    <row r="26" spans="2:22" ht="15" customHeight="1" thickBot="1">
      <c r="C26" s="927" t="s">
        <v>1347</v>
      </c>
      <c r="T26" s="2113"/>
      <c r="U26" s="938" t="s">
        <v>1200</v>
      </c>
      <c r="V26" s="939">
        <v>0.04</v>
      </c>
    </row>
    <row r="27" spans="2:22" ht="15" customHeight="1" thickBot="1">
      <c r="B27" s="927">
        <v>1</v>
      </c>
      <c r="C27" s="927" t="s">
        <v>1348</v>
      </c>
      <c r="E27" s="2109" t="s">
        <v>1364</v>
      </c>
      <c r="F27" s="2110"/>
      <c r="G27" s="2110"/>
      <c r="H27" s="2110"/>
      <c r="I27" s="2110"/>
      <c r="J27" s="2111"/>
      <c r="K27" s="929"/>
      <c r="L27" s="930"/>
      <c r="M27" s="930"/>
      <c r="T27" s="2114"/>
      <c r="U27" s="938" t="s">
        <v>1201</v>
      </c>
      <c r="V27" s="939">
        <v>0.04</v>
      </c>
    </row>
    <row r="28" spans="2:22" ht="15" customHeight="1" thickBot="1">
      <c r="B28" s="927">
        <v>2</v>
      </c>
      <c r="C28" s="927" t="s">
        <v>1349</v>
      </c>
      <c r="E28" s="970">
        <v>25</v>
      </c>
      <c r="F28" s="971" t="s">
        <v>1161</v>
      </c>
      <c r="G28" s="929"/>
      <c r="L28" s="930"/>
      <c r="M28" s="930"/>
      <c r="T28" s="2112" t="s">
        <v>1202</v>
      </c>
      <c r="U28" s="936" t="s">
        <v>1203</v>
      </c>
      <c r="V28" s="937">
        <v>3.9E-2</v>
      </c>
    </row>
    <row r="29" spans="2:22" ht="15" customHeight="1" thickBot="1">
      <c r="B29" s="927">
        <v>3</v>
      </c>
      <c r="C29" s="927" t="s">
        <v>1350</v>
      </c>
      <c r="E29" s="972">
        <f>INDEX('（例示）対策後の熱貫流率計算根拠'!V4:V61,'（例示）対策後の熱貫流率計算根拠'!V62,1)</f>
        <v>0.05</v>
      </c>
      <c r="F29" s="973" t="s">
        <v>1164</v>
      </c>
      <c r="G29" s="927" t="s">
        <v>1351</v>
      </c>
      <c r="T29" s="2113"/>
      <c r="U29" s="934" t="s">
        <v>1204</v>
      </c>
      <c r="V29" s="935">
        <v>3.7999999999999999E-2</v>
      </c>
    </row>
    <row r="30" spans="2:22" ht="15" customHeight="1">
      <c r="T30" s="2113"/>
      <c r="U30" s="936" t="s">
        <v>1205</v>
      </c>
      <c r="V30" s="937">
        <v>3.6999999999999998E-2</v>
      </c>
    </row>
    <row r="31" spans="2:22" ht="15" customHeight="1">
      <c r="C31" s="2125" t="s">
        <v>1352</v>
      </c>
      <c r="D31" s="2125"/>
      <c r="E31" s="2125"/>
      <c r="F31" s="974">
        <f>1/3.91</f>
        <v>0.25575447570332482</v>
      </c>
      <c r="G31" s="975" t="s">
        <v>1353</v>
      </c>
      <c r="H31" s="928">
        <f>E28/1000</f>
        <v>2.5000000000000001E-2</v>
      </c>
      <c r="I31" s="975" t="s">
        <v>1354</v>
      </c>
      <c r="J31" s="976">
        <f>E29</f>
        <v>0.05</v>
      </c>
      <c r="K31" s="928" t="s">
        <v>1355</v>
      </c>
      <c r="L31" s="977">
        <f>1/(F31+H31/J31)</f>
        <v>1.3231810490693741</v>
      </c>
      <c r="M31" s="928" t="s">
        <v>1162</v>
      </c>
      <c r="T31" s="2113"/>
      <c r="U31" s="934" t="s">
        <v>1206</v>
      </c>
      <c r="V31" s="935">
        <v>3.7999999999999999E-2</v>
      </c>
    </row>
    <row r="32" spans="2:22" ht="15" customHeight="1" thickBot="1">
      <c r="T32" s="2114"/>
      <c r="U32" s="934" t="s">
        <v>1207</v>
      </c>
      <c r="V32" s="935">
        <v>3.5999999999999997E-2</v>
      </c>
    </row>
    <row r="33" spans="2:22" ht="15" customHeight="1" thickBot="1">
      <c r="C33" s="2126" t="s">
        <v>1356</v>
      </c>
      <c r="D33" s="2127"/>
      <c r="E33" s="978">
        <f>L31</f>
        <v>1.3231810490693741</v>
      </c>
      <c r="F33" s="979" t="s">
        <v>1357</v>
      </c>
      <c r="G33" s="980"/>
      <c r="H33" s="929"/>
      <c r="T33" s="2112" t="s">
        <v>1208</v>
      </c>
      <c r="U33" s="936" t="s">
        <v>1209</v>
      </c>
      <c r="V33" s="937">
        <v>4.7E-2</v>
      </c>
    </row>
    <row r="34" spans="2:22" ht="15" customHeight="1">
      <c r="T34" s="2114"/>
      <c r="U34" s="936" t="s">
        <v>1210</v>
      </c>
      <c r="V34" s="937">
        <v>3.7999999999999999E-2</v>
      </c>
    </row>
    <row r="35" spans="2:22" ht="15" customHeight="1">
      <c r="B35" s="928" t="s">
        <v>1358</v>
      </c>
      <c r="T35" s="936" t="s">
        <v>1211</v>
      </c>
      <c r="U35" s="934" t="s">
        <v>1211</v>
      </c>
      <c r="V35" s="935">
        <v>6.4000000000000001E-2</v>
      </c>
    </row>
    <row r="36" spans="2:22" ht="15" customHeight="1" thickBot="1">
      <c r="B36" s="928"/>
      <c r="C36" s="927" t="s">
        <v>1359</v>
      </c>
      <c r="T36" s="936" t="s">
        <v>1212</v>
      </c>
      <c r="U36" s="936" t="s">
        <v>1213</v>
      </c>
      <c r="V36" s="937">
        <v>0.04</v>
      </c>
    </row>
    <row r="37" spans="2:22" ht="15" customHeight="1">
      <c r="B37" s="928"/>
      <c r="D37" s="2128" t="s">
        <v>1360</v>
      </c>
      <c r="E37" s="2129"/>
      <c r="F37" s="2134" t="s">
        <v>1361</v>
      </c>
      <c r="G37" s="2135"/>
      <c r="T37" s="2112" t="s">
        <v>1214</v>
      </c>
      <c r="U37" s="934" t="s">
        <v>1215</v>
      </c>
      <c r="V37" s="935">
        <v>0.04</v>
      </c>
    </row>
    <row r="38" spans="2:22" ht="15" customHeight="1">
      <c r="B38" s="928"/>
      <c r="D38" s="2130"/>
      <c r="E38" s="2131"/>
      <c r="F38" s="2136"/>
      <c r="G38" s="2137"/>
      <c r="T38" s="2113"/>
      <c r="U38" s="934" t="s">
        <v>1216</v>
      </c>
      <c r="V38" s="935">
        <v>3.4000000000000002E-2</v>
      </c>
    </row>
    <row r="39" spans="2:22" ht="15" customHeight="1">
      <c r="B39" s="928"/>
      <c r="D39" s="2130"/>
      <c r="E39" s="2131"/>
      <c r="F39" s="2136"/>
      <c r="G39" s="2137"/>
      <c r="T39" s="2114"/>
      <c r="U39" s="934" t="s">
        <v>1217</v>
      </c>
      <c r="V39" s="935">
        <v>2.8000000000000001E-2</v>
      </c>
    </row>
    <row r="40" spans="2:22" ht="15" customHeight="1">
      <c r="B40" s="928"/>
      <c r="D40" s="2130"/>
      <c r="E40" s="2131"/>
      <c r="F40" s="2136"/>
      <c r="G40" s="2137"/>
      <c r="T40" s="2112" t="s">
        <v>1218</v>
      </c>
      <c r="U40" s="934" t="s">
        <v>1219</v>
      </c>
      <c r="V40" s="935">
        <v>4.2000000000000003E-2</v>
      </c>
    </row>
    <row r="41" spans="2:22" ht="15" customHeight="1">
      <c r="B41" s="928"/>
      <c r="D41" s="2130"/>
      <c r="E41" s="2131"/>
      <c r="F41" s="2136"/>
      <c r="G41" s="2137"/>
      <c r="T41" s="2113"/>
      <c r="U41" s="934" t="s">
        <v>1220</v>
      </c>
      <c r="V41" s="935">
        <v>3.7999999999999999E-2</v>
      </c>
    </row>
    <row r="42" spans="2:22" ht="15" customHeight="1" thickBot="1">
      <c r="B42" s="928"/>
      <c r="D42" s="2132"/>
      <c r="E42" s="2133"/>
      <c r="F42" s="2138"/>
      <c r="G42" s="2139"/>
      <c r="T42" s="2112" t="s">
        <v>1222</v>
      </c>
      <c r="U42" s="934" t="s">
        <v>1223</v>
      </c>
      <c r="V42" s="935">
        <v>3.4000000000000002E-2</v>
      </c>
    </row>
    <row r="43" spans="2:22" ht="15" customHeight="1">
      <c r="B43" s="928"/>
      <c r="C43" s="927" t="s">
        <v>1362</v>
      </c>
      <c r="T43" s="2113"/>
      <c r="U43" s="934" t="s">
        <v>1224</v>
      </c>
      <c r="V43" s="935">
        <v>3.5999999999999997E-2</v>
      </c>
    </row>
    <row r="44" spans="2:22" ht="15" customHeight="1">
      <c r="B44" s="928"/>
      <c r="C44" s="927" t="s">
        <v>1363</v>
      </c>
      <c r="T44" s="2113"/>
      <c r="U44" s="934" t="s">
        <v>1225</v>
      </c>
      <c r="V44" s="934">
        <v>3.6999999999999998E-2</v>
      </c>
    </row>
    <row r="45" spans="2:22" ht="15" customHeight="1" thickBot="1">
      <c r="C45" s="927" t="s">
        <v>1347</v>
      </c>
      <c r="T45" s="2113"/>
      <c r="U45" s="934" t="s">
        <v>1226</v>
      </c>
      <c r="V45" s="935">
        <v>0.04</v>
      </c>
    </row>
    <row r="46" spans="2:22" ht="15" customHeight="1" thickBot="1">
      <c r="B46" s="927">
        <v>1</v>
      </c>
      <c r="C46" s="927" t="s">
        <v>1348</v>
      </c>
      <c r="E46" s="2109" t="s">
        <v>1364</v>
      </c>
      <c r="F46" s="2110"/>
      <c r="G46" s="2110"/>
      <c r="H46" s="2110"/>
      <c r="I46" s="2110"/>
      <c r="J46" s="2111"/>
      <c r="K46" s="929"/>
      <c r="T46" s="2114"/>
      <c r="U46" s="934" t="s">
        <v>1227</v>
      </c>
      <c r="V46" s="935">
        <v>4.2000000000000003E-2</v>
      </c>
    </row>
    <row r="47" spans="2:22" ht="15" customHeight="1" thickBot="1">
      <c r="B47" s="927">
        <v>2</v>
      </c>
      <c r="C47" s="927" t="s">
        <v>1349</v>
      </c>
      <c r="E47" s="981">
        <v>50</v>
      </c>
      <c r="F47" s="982" t="s">
        <v>1161</v>
      </c>
      <c r="G47" s="929"/>
      <c r="T47" s="2112" t="s">
        <v>1228</v>
      </c>
      <c r="U47" s="936" t="s">
        <v>1229</v>
      </c>
      <c r="V47" s="937">
        <v>2.9000000000000001E-2</v>
      </c>
    </row>
    <row r="48" spans="2:22" ht="15" customHeight="1" thickBot="1">
      <c r="B48" s="927">
        <v>3</v>
      </c>
      <c r="C48" s="927" t="s">
        <v>1350</v>
      </c>
      <c r="E48" s="972">
        <f>INDEX('（例示）対策後の熱貫流率計算根拠'!V4:V61,'（例示）対策後の熱貫流率計算根拠'!V63,1)</f>
        <v>0.05</v>
      </c>
      <c r="F48" s="983" t="s">
        <v>1164</v>
      </c>
      <c r="G48" s="927" t="s">
        <v>1351</v>
      </c>
      <c r="T48" s="2113"/>
      <c r="U48" s="934" t="s">
        <v>1230</v>
      </c>
      <c r="V48" s="935">
        <v>2.3E-2</v>
      </c>
    </row>
    <row r="49" spans="3:22" ht="15" customHeight="1">
      <c r="T49" s="2113"/>
      <c r="U49" s="934" t="s">
        <v>1231</v>
      </c>
      <c r="V49" s="935">
        <v>2.4E-2</v>
      </c>
    </row>
    <row r="50" spans="3:22" ht="15" customHeight="1">
      <c r="C50" s="2125" t="s">
        <v>1365</v>
      </c>
      <c r="D50" s="2125"/>
      <c r="E50" s="2125"/>
      <c r="F50" s="974">
        <f>1/1.18</f>
        <v>0.84745762711864414</v>
      </c>
      <c r="G50" s="975" t="s">
        <v>1353</v>
      </c>
      <c r="H50" s="928">
        <f>E47/1000</f>
        <v>0.05</v>
      </c>
      <c r="I50" s="975" t="s">
        <v>1354</v>
      </c>
      <c r="J50" s="976">
        <f>E48</f>
        <v>0.05</v>
      </c>
      <c r="K50" s="928" t="s">
        <v>1355</v>
      </c>
      <c r="L50" s="977">
        <f>1/(F50+H50/J50)</f>
        <v>0.54128440366972475</v>
      </c>
      <c r="M50" s="928" t="s">
        <v>1162</v>
      </c>
      <c r="T50" s="2114"/>
      <c r="U50" s="936" t="s">
        <v>1233</v>
      </c>
      <c r="V50" s="937">
        <v>2.8000000000000001E-2</v>
      </c>
    </row>
    <row r="51" spans="3:22" ht="15" customHeight="1" thickBot="1">
      <c r="T51" s="2112" t="s">
        <v>1234</v>
      </c>
      <c r="U51" s="934" t="s">
        <v>1235</v>
      </c>
      <c r="V51" s="935">
        <v>3.4000000000000002E-2</v>
      </c>
    </row>
    <row r="52" spans="3:22" ht="15" customHeight="1" thickBot="1">
      <c r="C52" s="2126" t="s">
        <v>1366</v>
      </c>
      <c r="D52" s="2127"/>
      <c r="E52" s="978">
        <f>L50</f>
        <v>0.54128440366972475</v>
      </c>
      <c r="F52" s="979" t="s">
        <v>1162</v>
      </c>
      <c r="G52" s="980"/>
      <c r="H52" s="929"/>
      <c r="T52" s="2113"/>
      <c r="U52" s="936" t="s">
        <v>1236</v>
      </c>
      <c r="V52" s="937">
        <v>2.5999999999999999E-2</v>
      </c>
    </row>
    <row r="53" spans="3:22">
      <c r="T53" s="2114"/>
      <c r="U53" s="936" t="s">
        <v>1237</v>
      </c>
      <c r="V53" s="937">
        <v>0.04</v>
      </c>
    </row>
    <row r="54" spans="3:22">
      <c r="T54" s="2112" t="s">
        <v>1238</v>
      </c>
      <c r="U54" s="934" t="s">
        <v>1239</v>
      </c>
      <c r="V54" s="935">
        <v>2.1999999999999999E-2</v>
      </c>
    </row>
    <row r="55" spans="3:22">
      <c r="T55" s="2113"/>
      <c r="U55" s="936" t="s">
        <v>1240</v>
      </c>
      <c r="V55" s="937">
        <v>3.5999999999999997E-2</v>
      </c>
    </row>
    <row r="56" spans="3:22">
      <c r="T56" s="2113"/>
      <c r="U56" s="936" t="s">
        <v>1241</v>
      </c>
      <c r="V56" s="937">
        <v>3.4000000000000002E-2</v>
      </c>
    </row>
    <row r="57" spans="3:22">
      <c r="T57" s="2113"/>
      <c r="U57" s="936" t="s">
        <v>1242</v>
      </c>
      <c r="V57" s="937">
        <v>2.8000000000000001E-2</v>
      </c>
    </row>
    <row r="58" spans="3:22">
      <c r="T58" s="2114"/>
      <c r="U58" s="936" t="s">
        <v>1243</v>
      </c>
      <c r="V58" s="937">
        <v>3.5000000000000003E-2</v>
      </c>
    </row>
    <row r="59" spans="3:22">
      <c r="T59" s="2112" t="s">
        <v>1244</v>
      </c>
      <c r="U59" s="936" t="s">
        <v>1245</v>
      </c>
      <c r="V59" s="937">
        <v>0.04</v>
      </c>
    </row>
    <row r="60" spans="3:22">
      <c r="T60" s="2114"/>
      <c r="U60" s="936" t="s">
        <v>1246</v>
      </c>
      <c r="V60" s="937">
        <v>5.1999999999999998E-2</v>
      </c>
    </row>
    <row r="61" spans="3:22" ht="14.25" customHeight="1">
      <c r="T61" s="936" t="s">
        <v>1247</v>
      </c>
      <c r="U61" s="934"/>
      <c r="V61" s="935"/>
    </row>
    <row r="62" spans="3:22" ht="18.75" customHeight="1">
      <c r="U62" s="927"/>
      <c r="V62" s="940">
        <f>MATCH('（例示）対策後の熱貫流率計算根拠'!$E27,'（例示）対策後の熱貫流率計算根拠'!U4:U61,0)</f>
        <v>1</v>
      </c>
    </row>
    <row r="63" spans="3:22" ht="18.75" customHeight="1">
      <c r="U63" s="927"/>
      <c r="V63" s="940">
        <f>MATCH('（例示）対策後の熱貫流率計算根拠'!$E46,'（例示）対策後の熱貫流率計算根拠'!U4:U61,0)</f>
        <v>1</v>
      </c>
    </row>
    <row r="64" spans="3:22" ht="18.75" customHeight="1"/>
    <row r="65" spans="20:20" ht="18.75" customHeight="1">
      <c r="T65" s="927"/>
    </row>
    <row r="66" spans="20:20" ht="18.75" customHeight="1">
      <c r="T66" s="927"/>
    </row>
  </sheetData>
  <mergeCells count="23">
    <mergeCell ref="T54:T58"/>
    <mergeCell ref="T59:T60"/>
    <mergeCell ref="T40:T41"/>
    <mergeCell ref="T42:T46"/>
    <mergeCell ref="E46:J46"/>
    <mergeCell ref="C50:E50"/>
    <mergeCell ref="T47:T50"/>
    <mergeCell ref="C52:D52"/>
    <mergeCell ref="T51:T53"/>
    <mergeCell ref="C31:E31"/>
    <mergeCell ref="T28:T32"/>
    <mergeCell ref="C33:D33"/>
    <mergeCell ref="T33:T34"/>
    <mergeCell ref="D37:E42"/>
    <mergeCell ref="F37:G42"/>
    <mergeCell ref="T37:T39"/>
    <mergeCell ref="E27:J27"/>
    <mergeCell ref="T24:T27"/>
    <mergeCell ref="B1:M1"/>
    <mergeCell ref="T13:T23"/>
    <mergeCell ref="E20:K21"/>
    <mergeCell ref="E22:K22"/>
    <mergeCell ref="T4:T12"/>
  </mergeCells>
  <phoneticPr fontId="2"/>
  <conditionalFormatting sqref="K50">
    <cfRule type="iconSet" priority="1">
      <iconSet iconSet="3Arrows">
        <cfvo type="percent" val="0"/>
        <cfvo type="percent" val="33"/>
        <cfvo type="percent" val="67"/>
      </iconSet>
    </cfRule>
  </conditionalFormatting>
  <dataValidations count="1">
    <dataValidation type="list" allowBlank="1" showInputMessage="1" showErrorMessage="1" sqref="E46:J46 E27:J27" xr:uid="{5034C685-4FF0-4451-92B1-C0FB10105079}">
      <formula1>$U$3:$U$61</formula1>
    </dataValidation>
  </dataValidations>
  <pageMargins left="0.31496062992125984" right="0.11811023622047245" top="0.35433070866141736" bottom="0.15748031496062992" header="0.11811023622047245" footer="0"/>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W227"/>
  <sheetViews>
    <sheetView showGridLines="0" showZeros="0" view="pageBreakPreview" topLeftCell="A7" zoomScaleNormal="100" zoomScaleSheetLayoutView="100" workbookViewId="0">
      <selection activeCell="G139" sqref="G139"/>
    </sheetView>
  </sheetViews>
  <sheetFormatPr defaultColWidth="9" defaultRowHeight="14"/>
  <cols>
    <col min="1" max="1" width="3.26953125" style="322" customWidth="1"/>
    <col min="2" max="2" width="14.90625" style="322" customWidth="1"/>
    <col min="3" max="3" width="8.7265625" style="322" customWidth="1"/>
    <col min="4" max="4" width="10" style="322" customWidth="1"/>
    <col min="5" max="5" width="9.7265625" style="322" customWidth="1"/>
    <col min="6" max="6" width="8.453125" style="322" customWidth="1"/>
    <col min="7" max="8" width="9" style="322"/>
    <col min="9" max="9" width="7.7265625" style="322" customWidth="1"/>
    <col min="10" max="11" width="8.26953125" style="322" customWidth="1"/>
    <col min="12" max="12" width="5.6328125" style="322" customWidth="1"/>
    <col min="13" max="20" width="9" style="322" hidden="1" customWidth="1"/>
    <col min="21" max="21" width="9" style="322" customWidth="1"/>
    <col min="22" max="23" width="9" style="322" hidden="1" customWidth="1"/>
    <col min="24" max="30" width="9" style="322" customWidth="1"/>
    <col min="31" max="16384" width="9" style="322"/>
  </cols>
  <sheetData>
    <row r="1" spans="1:12" ht="18">
      <c r="A1" s="1517" t="s">
        <v>240</v>
      </c>
      <c r="B1" s="1518"/>
      <c r="C1" s="1518"/>
      <c r="D1" s="1518"/>
      <c r="E1" s="1518"/>
      <c r="F1" s="1518"/>
      <c r="G1" s="1518"/>
      <c r="H1" s="1518"/>
      <c r="I1" s="1518"/>
      <c r="J1" s="1518"/>
      <c r="K1" s="1518"/>
      <c r="L1" s="1518"/>
    </row>
    <row r="2" spans="1:12">
      <c r="B2" s="323"/>
    </row>
    <row r="3" spans="1:12" s="324" customFormat="1">
      <c r="B3" s="324" t="s">
        <v>627</v>
      </c>
    </row>
    <row r="4" spans="1:12" s="324" customFormat="1">
      <c r="B4" s="1072" t="s">
        <v>1444</v>
      </c>
    </row>
    <row r="5" spans="1:12" s="324" customFormat="1" ht="16">
      <c r="B5" s="324" t="s">
        <v>1039</v>
      </c>
    </row>
    <row r="6" spans="1:12" s="324" customFormat="1"/>
    <row r="7" spans="1:12" s="324" customFormat="1" ht="18.5" thickBot="1">
      <c r="A7" s="325" t="s">
        <v>628</v>
      </c>
    </row>
    <row r="8" spans="1:12" s="324" customFormat="1" ht="18.5" thickBot="1">
      <c r="A8" s="325"/>
      <c r="H8" s="783" t="s">
        <v>629</v>
      </c>
      <c r="I8" s="1530" t="s">
        <v>1075</v>
      </c>
      <c r="J8" s="1531"/>
      <c r="K8" s="1532"/>
    </row>
    <row r="9" spans="1:12" s="324" customFormat="1" ht="16.149999999999999" customHeight="1" thickBot="1">
      <c r="A9" s="326">
        <v>1</v>
      </c>
      <c r="B9" s="715" t="s">
        <v>884</v>
      </c>
      <c r="C9" s="1527">
        <f>①!J12</f>
        <v>0</v>
      </c>
      <c r="D9" s="1528"/>
      <c r="E9" s="1528"/>
      <c r="F9" s="1527"/>
      <c r="G9" s="1527"/>
      <c r="H9" s="1527"/>
      <c r="I9" s="1529"/>
      <c r="J9" s="1529"/>
      <c r="K9" s="1529"/>
    </row>
    <row r="10" spans="1:12" s="324" customFormat="1" ht="16.149999999999999" customHeight="1" thickBot="1">
      <c r="B10" s="793" t="s">
        <v>1031</v>
      </c>
      <c r="C10" s="784" t="s">
        <v>630</v>
      </c>
      <c r="D10" s="1539" t="s">
        <v>1451</v>
      </c>
      <c r="E10" s="1532"/>
      <c r="F10" s="785"/>
      <c r="G10" s="758"/>
      <c r="H10" s="759"/>
      <c r="I10" s="759"/>
      <c r="J10" s="759"/>
      <c r="K10" s="759"/>
    </row>
    <row r="11" spans="1:12" s="324" customFormat="1" ht="16.149999999999999" hidden="1" customHeight="1">
      <c r="B11" s="326" t="s">
        <v>631</v>
      </c>
      <c r="C11" s="1533"/>
      <c r="D11" s="1534"/>
      <c r="E11" s="1534"/>
      <c r="F11" s="1534"/>
      <c r="G11" s="1534"/>
      <c r="H11" s="1534"/>
      <c r="I11" s="1534"/>
      <c r="J11" s="1534"/>
      <c r="K11" s="1534"/>
    </row>
    <row r="12" spans="1:12" s="324" customFormat="1" ht="16.149999999999999" hidden="1" customHeight="1">
      <c r="C12" s="327"/>
      <c r="D12" s="328"/>
      <c r="E12" s="328"/>
      <c r="F12" s="328"/>
      <c r="G12" s="328"/>
      <c r="H12" s="328"/>
      <c r="I12" s="328"/>
      <c r="J12" s="328"/>
      <c r="K12" s="329"/>
    </row>
    <row r="13" spans="1:12" s="324" customFormat="1" ht="16.149999999999999" hidden="1" customHeight="1">
      <c r="B13" s="326" t="s">
        <v>632</v>
      </c>
      <c r="C13" s="1540"/>
      <c r="D13" s="1540"/>
      <c r="E13" s="1540"/>
      <c r="F13" s="1540"/>
      <c r="G13" s="1540"/>
      <c r="H13" s="1540"/>
      <c r="I13" s="1540"/>
      <c r="J13" s="1540"/>
      <c r="K13" s="1540"/>
    </row>
    <row r="14" spans="1:12" s="324" customFormat="1" hidden="1"/>
    <row r="15" spans="1:12" hidden="1">
      <c r="A15" s="323">
        <v>2</v>
      </c>
      <c r="B15" s="323" t="s">
        <v>633</v>
      </c>
      <c r="F15" s="330"/>
      <c r="G15" s="330"/>
      <c r="H15" s="330"/>
      <c r="I15" s="330"/>
    </row>
    <row r="16" spans="1:12" hidden="1">
      <c r="B16" s="322" t="s">
        <v>634</v>
      </c>
      <c r="F16" s="330"/>
      <c r="G16" s="330"/>
      <c r="H16" s="330"/>
      <c r="I16" s="330"/>
    </row>
    <row r="17" spans="1:9" ht="14.5" hidden="1" thickBot="1">
      <c r="B17" s="403" t="s">
        <v>741</v>
      </c>
      <c r="C17" s="401"/>
      <c r="D17" s="401"/>
      <c r="E17" s="402"/>
      <c r="F17" s="330"/>
      <c r="G17" s="330"/>
      <c r="H17" s="330"/>
      <c r="I17" s="330"/>
    </row>
    <row r="18" spans="1:9" ht="14.5" hidden="1" thickBot="1">
      <c r="B18" s="331" t="s">
        <v>635</v>
      </c>
      <c r="C18" s="1535">
        <v>0</v>
      </c>
      <c r="D18" s="1536"/>
      <c r="E18" s="322" t="s">
        <v>636</v>
      </c>
      <c r="F18" s="330"/>
      <c r="G18" s="330"/>
      <c r="H18" s="330"/>
      <c r="I18" s="330"/>
    </row>
    <row r="19" spans="1:9">
      <c r="G19" s="330"/>
      <c r="H19" s="330"/>
      <c r="I19" s="330"/>
    </row>
    <row r="20" spans="1:9">
      <c r="A20" s="323">
        <v>2</v>
      </c>
      <c r="B20" s="323" t="s">
        <v>637</v>
      </c>
      <c r="G20" s="330"/>
      <c r="H20" s="330"/>
      <c r="I20" s="330"/>
    </row>
    <row r="21" spans="1:9">
      <c r="B21" s="322" t="s">
        <v>638</v>
      </c>
      <c r="G21" s="330"/>
      <c r="H21" s="330"/>
      <c r="I21" s="330"/>
    </row>
    <row r="22" spans="1:9">
      <c r="B22" s="324" t="s">
        <v>639</v>
      </c>
      <c r="G22" s="330"/>
      <c r="H22" s="330"/>
      <c r="I22" s="330"/>
    </row>
    <row r="23" spans="1:9">
      <c r="B23" s="331" t="s">
        <v>640</v>
      </c>
      <c r="C23" s="332">
        <v>3.55</v>
      </c>
      <c r="H23" s="330"/>
      <c r="I23" s="330"/>
    </row>
    <row r="24" spans="1:9">
      <c r="B24" s="331" t="s">
        <v>641</v>
      </c>
      <c r="C24" s="332">
        <v>3.95</v>
      </c>
      <c r="H24" s="330"/>
      <c r="I24" s="330"/>
    </row>
    <row r="25" spans="1:9">
      <c r="G25" s="330"/>
      <c r="H25" s="330"/>
      <c r="I25" s="330"/>
    </row>
    <row r="26" spans="1:9" ht="14.5" thickBot="1">
      <c r="A26" s="323">
        <v>3</v>
      </c>
      <c r="B26" s="323" t="s">
        <v>642</v>
      </c>
      <c r="G26" s="330"/>
      <c r="H26" s="330"/>
      <c r="I26" s="330"/>
    </row>
    <row r="27" spans="1:9">
      <c r="B27" s="1537" t="s">
        <v>643</v>
      </c>
      <c r="C27" s="1537"/>
      <c r="D27" s="1538"/>
      <c r="E27" s="786"/>
      <c r="F27" s="322" t="s">
        <v>644</v>
      </c>
      <c r="G27" s="330"/>
      <c r="H27" s="330"/>
      <c r="I27" s="330"/>
    </row>
    <row r="28" spans="1:9" ht="14.5" thickBot="1">
      <c r="B28" s="1537" t="s">
        <v>645</v>
      </c>
      <c r="C28" s="1537"/>
      <c r="D28" s="1538"/>
      <c r="E28" s="787"/>
      <c r="F28" s="322" t="s">
        <v>646</v>
      </c>
      <c r="G28" s="330"/>
      <c r="H28" s="330"/>
      <c r="I28" s="330"/>
    </row>
    <row r="29" spans="1:9">
      <c r="B29" s="1537" t="s">
        <v>647</v>
      </c>
      <c r="C29" s="1537"/>
      <c r="D29" s="1538"/>
      <c r="E29" s="334">
        <f>E28*E27</f>
        <v>0</v>
      </c>
      <c r="F29" s="322" t="s">
        <v>648</v>
      </c>
      <c r="G29" s="330"/>
      <c r="H29" s="330"/>
      <c r="I29" s="330"/>
    </row>
    <row r="30" spans="1:9">
      <c r="G30" s="330"/>
      <c r="H30" s="330"/>
      <c r="I30" s="330"/>
    </row>
    <row r="31" spans="1:9" ht="18">
      <c r="A31" s="325" t="s">
        <v>649</v>
      </c>
      <c r="B31" s="335"/>
    </row>
    <row r="32" spans="1:9" ht="15" customHeight="1">
      <c r="A32" s="336">
        <v>1</v>
      </c>
      <c r="B32" s="326" t="s">
        <v>650</v>
      </c>
    </row>
    <row r="33" spans="1:18" ht="18">
      <c r="A33" s="337"/>
      <c r="B33" s="1068" t="s">
        <v>1413</v>
      </c>
      <c r="C33" s="339"/>
      <c r="D33" s="339"/>
      <c r="E33" s="339"/>
      <c r="F33" s="339"/>
      <c r="G33" s="339"/>
      <c r="H33" s="339"/>
      <c r="I33" s="339"/>
      <c r="J33" s="339"/>
      <c r="K33" s="339"/>
    </row>
    <row r="34" spans="1:18" ht="18">
      <c r="A34" s="337"/>
      <c r="B34" s="338"/>
      <c r="C34" s="339"/>
      <c r="D34" s="339"/>
      <c r="E34" s="339"/>
      <c r="F34" s="339"/>
      <c r="I34" s="339"/>
      <c r="J34" s="339"/>
      <c r="K34" s="339"/>
    </row>
    <row r="35" spans="1:18" ht="18">
      <c r="A35" s="337"/>
      <c r="C35" s="339"/>
      <c r="D35" s="339"/>
      <c r="E35" s="339"/>
      <c r="F35" s="339"/>
      <c r="G35" s="1023" t="s">
        <v>1403</v>
      </c>
      <c r="H35" s="339"/>
      <c r="I35" s="339"/>
      <c r="J35" s="339"/>
      <c r="K35" s="339"/>
    </row>
    <row r="36" spans="1:18" ht="18">
      <c r="A36" s="337"/>
      <c r="C36" s="339"/>
      <c r="D36" s="339"/>
      <c r="E36" s="339"/>
      <c r="F36" s="339"/>
      <c r="G36" s="339"/>
      <c r="H36" s="339"/>
      <c r="I36" s="339"/>
      <c r="J36" s="339"/>
      <c r="K36" s="339"/>
      <c r="O36" s="340"/>
    </row>
    <row r="37" spans="1:18" ht="18" hidden="1">
      <c r="A37" s="337"/>
      <c r="B37" s="1025"/>
      <c r="C37" s="339"/>
      <c r="D37" s="339"/>
      <c r="E37" s="339"/>
      <c r="F37" s="339"/>
      <c r="G37" s="339"/>
      <c r="H37" s="339"/>
      <c r="I37" s="339"/>
      <c r="J37" s="339"/>
      <c r="K37" s="339"/>
      <c r="O37" s="340"/>
    </row>
    <row r="38" spans="1:18" ht="18" hidden="1">
      <c r="A38" s="325"/>
      <c r="B38" s="1025"/>
      <c r="O38" s="340"/>
      <c r="P38" s="340"/>
    </row>
    <row r="39" spans="1:18" ht="18" hidden="1">
      <c r="A39" s="325"/>
      <c r="B39" s="1025"/>
      <c r="O39" s="340"/>
      <c r="P39" s="340"/>
    </row>
    <row r="40" spans="1:18" ht="18" hidden="1">
      <c r="A40" s="325"/>
      <c r="B40" s="1025"/>
      <c r="O40" s="340"/>
      <c r="P40" s="339" t="b">
        <f>OR(AND(O41,O42)=TRUE,AND(O43,O44)=TRUE,AND(O45,O46)=TRUE)</f>
        <v>0</v>
      </c>
    </row>
    <row r="41" spans="1:18" ht="18" hidden="1">
      <c r="A41" s="325"/>
      <c r="B41" s="1025"/>
      <c r="N41" s="985" t="s">
        <v>1373</v>
      </c>
      <c r="O41" s="340" t="b">
        <v>0</v>
      </c>
      <c r="P41" s="339" t="b">
        <f>IF(AND(O41,O42)=TRUE,FALSE,O41)</f>
        <v>0</v>
      </c>
      <c r="Q41" s="322" t="str">
        <f>IF(P41=TRUE,"屋根遮熱","")</f>
        <v/>
      </c>
    </row>
    <row r="42" spans="1:18" ht="18" hidden="1">
      <c r="A42" s="325"/>
      <c r="B42" s="1026"/>
      <c r="N42" s="985" t="s">
        <v>1374</v>
      </c>
      <c r="O42" s="340" t="b">
        <v>0</v>
      </c>
      <c r="P42" s="339" t="b">
        <f>IF(AND(O42,O41)=TRUE,FALSE,O42)</f>
        <v>0</v>
      </c>
      <c r="Q42" s="322" t="str">
        <f>IF(P42=TRUE,"屋根断熱","")</f>
        <v/>
      </c>
    </row>
    <row r="43" spans="1:18">
      <c r="A43" s="323">
        <v>2</v>
      </c>
      <c r="B43" s="323" t="s">
        <v>651</v>
      </c>
      <c r="N43" s="985" t="s">
        <v>1376</v>
      </c>
      <c r="O43" s="340" t="b">
        <v>0</v>
      </c>
      <c r="P43" s="339" t="b">
        <f>IF(AND(O43,O44)=TRUE,FALSE,O43)</f>
        <v>0</v>
      </c>
      <c r="Q43" s="322" t="str">
        <f>IF(P43=TRUE,"外壁断熱","")</f>
        <v/>
      </c>
    </row>
    <row r="44" spans="1:18">
      <c r="B44" s="324" t="s">
        <v>652</v>
      </c>
      <c r="N44" s="985" t="s">
        <v>1375</v>
      </c>
      <c r="O44" s="340" t="b">
        <v>0</v>
      </c>
      <c r="P44" s="339" t="b">
        <f>IF(AND(O44,O43)=TRUE,FALSE,O44)</f>
        <v>0</v>
      </c>
      <c r="Q44" s="322" t="str">
        <f>IF(P44=TRUE,"外壁遮熱","")</f>
        <v/>
      </c>
    </row>
    <row r="45" spans="1:18" ht="14.5" thickBot="1">
      <c r="B45" s="324" t="s">
        <v>653</v>
      </c>
      <c r="N45" s="985" t="s">
        <v>1377</v>
      </c>
      <c r="O45" s="340" t="b">
        <v>0</v>
      </c>
      <c r="P45" s="339" t="b">
        <f>IF(AND(O45,O46)=TRUE,FALSE,O45)</f>
        <v>0</v>
      </c>
      <c r="Q45" s="322" t="str">
        <f>IF(P45=TRUE,"窓断熱","")</f>
        <v/>
      </c>
    </row>
    <row r="46" spans="1:18" ht="14.5" thickBot="1">
      <c r="B46" s="1495" t="s">
        <v>654</v>
      </c>
      <c r="C46" s="1495"/>
      <c r="D46" s="1495"/>
      <c r="E46" s="1495"/>
      <c r="N46" s="985" t="s">
        <v>1378</v>
      </c>
      <c r="O46" s="340" t="b">
        <v>0</v>
      </c>
      <c r="P46" s="339" t="b">
        <f>IF(AND(O46,O45)=TRUE,FALSE,O46)</f>
        <v>0</v>
      </c>
      <c r="Q46" s="322" t="str">
        <f>IF(P46=TRUE,"窓遮熱","")</f>
        <v/>
      </c>
      <c r="R46" s="984" t="str">
        <f>Q41&amp;"　"&amp;Q42&amp;"　"&amp;Q43&amp;"  "&amp;Q44&amp;"  "&amp;Q45&amp;"  "&amp;Q46</f>
        <v xml:space="preserve">　　      </v>
      </c>
    </row>
    <row r="47" spans="1:18" ht="17" thickBot="1">
      <c r="B47" s="330" t="s">
        <v>655</v>
      </c>
      <c r="C47" s="330" t="s">
        <v>656</v>
      </c>
      <c r="D47" s="341" t="s">
        <v>1144</v>
      </c>
    </row>
    <row r="48" spans="1:18" ht="14.5" thickBot="1">
      <c r="B48" s="342" t="s">
        <v>657</v>
      </c>
      <c r="C48" s="788" t="s">
        <v>658</v>
      </c>
      <c r="D48" s="789"/>
      <c r="G48" s="330"/>
      <c r="N48" s="322">
        <f>IF(P$41=TRUE,D48,IF(P$42=TRUE,D48,0))</f>
        <v>0</v>
      </c>
    </row>
    <row r="49" spans="2:15" ht="14.5" thickBot="1">
      <c r="B49" s="1497" t="s">
        <v>659</v>
      </c>
      <c r="C49" s="788" t="s">
        <v>660</v>
      </c>
      <c r="D49" s="790"/>
      <c r="N49" s="322">
        <f>IF(P$43=TRUE,D49,IF(P$44=TRUE,D49,0))</f>
        <v>0</v>
      </c>
    </row>
    <row r="50" spans="2:15" ht="14.5" thickBot="1">
      <c r="B50" s="1497"/>
      <c r="C50" s="788" t="s">
        <v>661</v>
      </c>
      <c r="D50" s="790">
        <v>0</v>
      </c>
      <c r="N50" s="322">
        <f t="shared" ref="N50:N56" si="0">IF(P$43=TRUE,D50,IF(P$44=TRUE,D50,0))</f>
        <v>0</v>
      </c>
    </row>
    <row r="51" spans="2:15" ht="14.5" thickBot="1">
      <c r="B51" s="1497"/>
      <c r="C51" s="788" t="s">
        <v>662</v>
      </c>
      <c r="D51" s="790"/>
      <c r="N51" s="322">
        <f t="shared" si="0"/>
        <v>0</v>
      </c>
    </row>
    <row r="52" spans="2:15" ht="14.5" thickBot="1">
      <c r="B52" s="1497"/>
      <c r="C52" s="788" t="s">
        <v>663</v>
      </c>
      <c r="D52" s="790"/>
      <c r="N52" s="322">
        <f t="shared" si="0"/>
        <v>0</v>
      </c>
    </row>
    <row r="53" spans="2:15" ht="14.5" thickBot="1">
      <c r="B53" s="1497"/>
      <c r="C53" s="788" t="s">
        <v>664</v>
      </c>
      <c r="D53" s="790"/>
      <c r="N53" s="322">
        <f t="shared" si="0"/>
        <v>0</v>
      </c>
    </row>
    <row r="54" spans="2:15" ht="14.5" thickBot="1">
      <c r="B54" s="1497"/>
      <c r="C54" s="788" t="s">
        <v>665</v>
      </c>
      <c r="D54" s="790">
        <v>0</v>
      </c>
      <c r="N54" s="322">
        <f t="shared" si="0"/>
        <v>0</v>
      </c>
    </row>
    <row r="55" spans="2:15" ht="14.5" thickBot="1">
      <c r="B55" s="1497"/>
      <c r="C55" s="788" t="s">
        <v>666</v>
      </c>
      <c r="D55" s="790"/>
      <c r="E55" s="345"/>
      <c r="N55" s="322">
        <f t="shared" si="0"/>
        <v>0</v>
      </c>
    </row>
    <row r="56" spans="2:15" ht="14.5" thickBot="1">
      <c r="B56" s="1497"/>
      <c r="C56" s="788" t="s">
        <v>667</v>
      </c>
      <c r="D56" s="790">
        <v>0</v>
      </c>
      <c r="N56" s="322">
        <f t="shared" si="0"/>
        <v>0</v>
      </c>
    </row>
    <row r="57" spans="2:15" ht="14.5" thickBot="1">
      <c r="B57" s="1497" t="s">
        <v>668</v>
      </c>
      <c r="C57" s="788" t="s">
        <v>660</v>
      </c>
      <c r="D57" s="790"/>
      <c r="N57" s="322">
        <f>IF(P$45=TRUE,D57,0)</f>
        <v>0</v>
      </c>
      <c r="O57" s="322">
        <f>IF(P$46=TRUE,D57,0)</f>
        <v>0</v>
      </c>
    </row>
    <row r="58" spans="2:15" ht="14.5" thickBot="1">
      <c r="B58" s="1497"/>
      <c r="C58" s="788" t="s">
        <v>661</v>
      </c>
      <c r="D58" s="790">
        <v>0</v>
      </c>
      <c r="N58" s="322">
        <f t="shared" ref="N58:N64" si="1">IF(P$45=TRUE,D58,0)</f>
        <v>0</v>
      </c>
      <c r="O58" s="322">
        <f t="shared" ref="O58:O64" si="2">IF(P$46=TRUE,D58,0)</f>
        <v>0</v>
      </c>
    </row>
    <row r="59" spans="2:15" ht="14.5" thickBot="1">
      <c r="B59" s="1497"/>
      <c r="C59" s="788" t="s">
        <v>662</v>
      </c>
      <c r="D59" s="790"/>
      <c r="N59" s="322">
        <f t="shared" si="1"/>
        <v>0</v>
      </c>
      <c r="O59" s="322">
        <f>IF(P$46=TRUE,D59,0)</f>
        <v>0</v>
      </c>
    </row>
    <row r="60" spans="2:15" ht="14.5" thickBot="1">
      <c r="B60" s="1497"/>
      <c r="C60" s="788" t="s">
        <v>663</v>
      </c>
      <c r="D60" s="790">
        <v>0</v>
      </c>
      <c r="N60" s="322">
        <f t="shared" si="1"/>
        <v>0</v>
      </c>
      <c r="O60" s="322">
        <f t="shared" si="2"/>
        <v>0</v>
      </c>
    </row>
    <row r="61" spans="2:15" ht="14.5" thickBot="1">
      <c r="B61" s="1497"/>
      <c r="C61" s="788" t="s">
        <v>664</v>
      </c>
      <c r="D61" s="790"/>
      <c r="N61" s="322">
        <f t="shared" si="1"/>
        <v>0</v>
      </c>
      <c r="O61" s="322">
        <f t="shared" si="2"/>
        <v>0</v>
      </c>
    </row>
    <row r="62" spans="2:15" ht="14.5" thickBot="1">
      <c r="B62" s="1497"/>
      <c r="C62" s="788" t="s">
        <v>665</v>
      </c>
      <c r="D62" s="790">
        <v>0</v>
      </c>
      <c r="N62" s="322">
        <f t="shared" si="1"/>
        <v>0</v>
      </c>
      <c r="O62" s="322">
        <f t="shared" si="2"/>
        <v>0</v>
      </c>
    </row>
    <row r="63" spans="2:15" ht="14.5" thickBot="1">
      <c r="B63" s="1497"/>
      <c r="C63" s="788" t="s">
        <v>666</v>
      </c>
      <c r="D63" s="790"/>
      <c r="N63" s="322">
        <f t="shared" si="1"/>
        <v>0</v>
      </c>
      <c r="O63" s="322">
        <f t="shared" si="2"/>
        <v>0</v>
      </c>
    </row>
    <row r="64" spans="2:15" ht="14.5" thickBot="1">
      <c r="B64" s="1497"/>
      <c r="C64" s="788" t="s">
        <v>667</v>
      </c>
      <c r="D64" s="791">
        <v>0</v>
      </c>
      <c r="E64" s="322" t="s">
        <v>669</v>
      </c>
      <c r="G64" s="330"/>
      <c r="N64" s="322">
        <f t="shared" si="1"/>
        <v>0</v>
      </c>
      <c r="O64" s="322">
        <f t="shared" si="2"/>
        <v>0</v>
      </c>
    </row>
    <row r="65" spans="1:9">
      <c r="E65" s="346" t="s">
        <v>670</v>
      </c>
    </row>
    <row r="66" spans="1:9">
      <c r="E66" s="346" t="s">
        <v>671</v>
      </c>
    </row>
    <row r="68" spans="1:9" ht="18" customHeight="1">
      <c r="A68" s="1107" t="s">
        <v>1434</v>
      </c>
      <c r="B68" s="323"/>
    </row>
    <row r="69" spans="1:9" ht="18" customHeight="1">
      <c r="A69" s="715" t="s">
        <v>1407</v>
      </c>
    </row>
    <row r="70" spans="1:9" ht="18" customHeight="1">
      <c r="A70" s="715"/>
      <c r="B70" s="1542" t="s">
        <v>1441</v>
      </c>
      <c r="C70" s="1542"/>
      <c r="D70" s="1542"/>
      <c r="E70" s="1542"/>
      <c r="F70" s="1542"/>
      <c r="G70" s="1542"/>
      <c r="H70" s="1542"/>
      <c r="I70" s="1542"/>
    </row>
    <row r="71" spans="1:9" ht="18" customHeight="1">
      <c r="B71" s="914" t="s">
        <v>1414</v>
      </c>
    </row>
    <row r="72" spans="1:9" ht="18" hidden="1" customHeight="1">
      <c r="B72" s="1027"/>
    </row>
    <row r="73" spans="1:9" ht="18" hidden="1" customHeight="1">
      <c r="B73" s="803"/>
    </row>
    <row r="74" spans="1:9" ht="18" hidden="1" customHeight="1">
      <c r="B74" s="803"/>
    </row>
    <row r="75" spans="1:9" ht="18" customHeight="1">
      <c r="B75" s="1495" t="s">
        <v>672</v>
      </c>
      <c r="C75" s="1495"/>
      <c r="D75" s="1495"/>
      <c r="E75" s="1495"/>
    </row>
    <row r="76" spans="1:9" ht="18" customHeight="1">
      <c r="B76" s="918" t="s">
        <v>192</v>
      </c>
      <c r="C76" s="334"/>
      <c r="D76" s="347">
        <v>3.91</v>
      </c>
      <c r="E76" s="334" t="s">
        <v>1145</v>
      </c>
      <c r="G76" s="1500" t="s">
        <v>1146</v>
      </c>
      <c r="H76" s="1500"/>
      <c r="I76" s="1500"/>
    </row>
    <row r="77" spans="1:9" ht="12" customHeight="1">
      <c r="B77" s="334"/>
      <c r="C77" s="334"/>
      <c r="D77" s="334"/>
      <c r="E77" s="334"/>
    </row>
    <row r="78" spans="1:9" ht="18" customHeight="1">
      <c r="B78" s="914" t="s">
        <v>1155</v>
      </c>
      <c r="D78" s="1498" t="str">
        <f>IF(D76&gt;3.91,"補助対象外の性能値です","")</f>
        <v/>
      </c>
      <c r="E78" s="1498"/>
      <c r="F78" s="1498"/>
      <c r="G78" s="1498"/>
      <c r="H78" s="1498"/>
      <c r="I78" s="1498"/>
    </row>
    <row r="79" spans="1:9" ht="18" hidden="1" customHeight="1">
      <c r="B79" s="324"/>
    </row>
    <row r="80" spans="1:9" ht="18" hidden="1" customHeight="1">
      <c r="B80" s="803"/>
    </row>
    <row r="81" spans="1:18" ht="18" hidden="1" customHeight="1">
      <c r="B81" s="804"/>
    </row>
    <row r="82" spans="1:18" ht="18" customHeight="1">
      <c r="B82" s="348" t="s">
        <v>673</v>
      </c>
      <c r="C82" s="348"/>
      <c r="D82" s="348"/>
      <c r="E82" s="348"/>
    </row>
    <row r="83" spans="1:18" ht="18" customHeight="1">
      <c r="B83" s="334" t="s">
        <v>674</v>
      </c>
      <c r="C83" s="334"/>
      <c r="D83" s="333">
        <v>0.7</v>
      </c>
      <c r="E83" s="334"/>
      <c r="G83" s="1500" t="s">
        <v>1437</v>
      </c>
      <c r="H83" s="1500"/>
    </row>
    <row r="84" spans="1:18" ht="18" customHeight="1">
      <c r="B84" s="334"/>
      <c r="C84" s="334"/>
      <c r="D84" s="334"/>
      <c r="E84" s="334"/>
    </row>
    <row r="85" spans="1:18" ht="18" customHeight="1">
      <c r="A85" s="792"/>
      <c r="B85" s="792"/>
      <c r="C85" s="792"/>
      <c r="D85" s="1541" t="str">
        <f>IF(D83&gt;0.7,"補助対象外の性能値です","")</f>
        <v/>
      </c>
      <c r="E85" s="1541"/>
      <c r="F85" s="1541"/>
      <c r="G85" s="1541"/>
      <c r="H85" s="1541"/>
      <c r="I85" s="1541"/>
      <c r="J85" s="792"/>
      <c r="K85" s="792"/>
      <c r="L85" s="792"/>
    </row>
    <row r="86" spans="1:18" ht="18" customHeight="1">
      <c r="A86" s="715" t="s">
        <v>1408</v>
      </c>
      <c r="O86" s="349" t="s">
        <v>675</v>
      </c>
      <c r="P86" s="349"/>
      <c r="Q86" s="349"/>
      <c r="R86" s="349"/>
    </row>
    <row r="87" spans="1:18" ht="18" customHeight="1">
      <c r="B87" s="914" t="s">
        <v>1156</v>
      </c>
      <c r="O87" s="349" t="s">
        <v>676</v>
      </c>
      <c r="P87" s="349"/>
      <c r="Q87" s="349"/>
      <c r="R87" s="349"/>
    </row>
    <row r="88" spans="1:18" ht="18" customHeight="1" thickBot="1">
      <c r="B88" s="1512" t="s">
        <v>1440</v>
      </c>
      <c r="C88" s="1512"/>
      <c r="D88" s="1512"/>
      <c r="E88" s="1512"/>
      <c r="F88" s="1512"/>
      <c r="G88" s="1512"/>
      <c r="H88" s="1512"/>
      <c r="I88" s="1512"/>
      <c r="J88" s="1512"/>
      <c r="K88" s="1512"/>
      <c r="L88" s="1512"/>
      <c r="O88" s="1520" t="s">
        <v>678</v>
      </c>
      <c r="P88" s="1520"/>
      <c r="Q88" s="1520"/>
    </row>
    <row r="89" spans="1:18" ht="18" hidden="1" customHeight="1" thickBot="1">
      <c r="B89" s="1496" t="s">
        <v>677</v>
      </c>
      <c r="C89" s="1496"/>
      <c r="D89" s="1496"/>
      <c r="E89" s="1496"/>
      <c r="O89" s="799"/>
      <c r="P89" s="799"/>
      <c r="Q89" s="799"/>
    </row>
    <row r="90" spans="1:18" ht="18" hidden="1" customHeight="1" thickBot="1">
      <c r="B90" s="803"/>
      <c r="C90" s="800"/>
      <c r="D90" s="800"/>
      <c r="E90" s="800"/>
      <c r="O90" s="799"/>
      <c r="P90" s="799"/>
      <c r="Q90" s="799"/>
    </row>
    <row r="91" spans="1:18" s="373" customFormat="1" ht="18" customHeight="1" thickBot="1">
      <c r="A91" s="322"/>
      <c r="B91" s="803"/>
      <c r="C91" s="800"/>
      <c r="D91" s="800"/>
      <c r="E91" s="800"/>
      <c r="F91" s="322"/>
      <c r="G91" s="322"/>
      <c r="H91" s="322"/>
      <c r="I91" s="322"/>
      <c r="J91" s="322"/>
      <c r="K91" s="322"/>
      <c r="L91" s="322"/>
      <c r="O91" s="397" t="s">
        <v>734</v>
      </c>
      <c r="P91" s="398" t="s">
        <v>735</v>
      </c>
      <c r="Q91" s="399" t="s">
        <v>737</v>
      </c>
    </row>
    <row r="92" spans="1:18" ht="18" customHeight="1" thickBot="1">
      <c r="A92" s="373"/>
      <c r="B92" s="364" t="s">
        <v>731</v>
      </c>
      <c r="C92" s="1113" t="s">
        <v>732</v>
      </c>
      <c r="D92" s="1113" t="s">
        <v>704</v>
      </c>
      <c r="E92" s="400"/>
      <c r="F92" s="373"/>
      <c r="G92" s="373"/>
      <c r="H92" s="373"/>
      <c r="I92" s="373"/>
      <c r="J92" s="373"/>
      <c r="K92" s="373"/>
      <c r="L92" s="373"/>
      <c r="O92" s="1492" t="s">
        <v>682</v>
      </c>
      <c r="P92" s="354" t="s">
        <v>683</v>
      </c>
      <c r="Q92" s="355">
        <v>1.18</v>
      </c>
      <c r="R92" s="349" t="s">
        <v>684</v>
      </c>
    </row>
    <row r="93" spans="1:18" ht="18" customHeight="1" thickBot="1">
      <c r="B93" s="1497" t="s">
        <v>659</v>
      </c>
      <c r="C93" s="1109" t="s">
        <v>660</v>
      </c>
      <c r="D93" s="1110">
        <v>1.18</v>
      </c>
      <c r="E93" s="334" t="s">
        <v>1145</v>
      </c>
      <c r="G93" s="1543" t="s">
        <v>1147</v>
      </c>
      <c r="H93" s="1543"/>
      <c r="I93" s="1543"/>
      <c r="O93" s="1493"/>
      <c r="P93" s="356" t="s">
        <v>685</v>
      </c>
      <c r="Q93" s="357">
        <v>0.8</v>
      </c>
      <c r="R93" s="358" t="s">
        <v>686</v>
      </c>
    </row>
    <row r="94" spans="1:18" ht="18" customHeight="1" thickBot="1">
      <c r="B94" s="1497"/>
      <c r="C94" s="343" t="s">
        <v>661</v>
      </c>
      <c r="D94" s="603">
        <v>1.18</v>
      </c>
      <c r="E94" s="334" t="s">
        <v>1145</v>
      </c>
      <c r="G94" s="1498" t="str">
        <f>IF(OR(D93&gt;1.18,D94&gt;1.18,D95&gt;1.18,D96&gt;1.18,D97&gt;1.18,D98&gt;1.18,D99&gt;1.18,D100&gt;1.18),"補助対象外の性能値です","")</f>
        <v/>
      </c>
      <c r="H94" s="1498"/>
      <c r="I94" s="1498"/>
      <c r="J94" s="1498"/>
      <c r="K94" s="1498"/>
      <c r="L94" s="1498"/>
      <c r="O94" s="1493"/>
      <c r="P94" s="356" t="s">
        <v>687</v>
      </c>
      <c r="Q94" s="357">
        <v>0.8</v>
      </c>
      <c r="R94" s="358" t="s">
        <v>686</v>
      </c>
    </row>
    <row r="95" spans="1:18" ht="18" customHeight="1" thickBot="1">
      <c r="B95" s="1497"/>
      <c r="C95" s="343" t="s">
        <v>662</v>
      </c>
      <c r="D95" s="603">
        <v>1.18</v>
      </c>
      <c r="E95" s="334" t="s">
        <v>1145</v>
      </c>
      <c r="O95" s="1493"/>
      <c r="P95" s="356" t="s">
        <v>688</v>
      </c>
      <c r="Q95" s="357">
        <v>0.8</v>
      </c>
      <c r="R95" s="358" t="s">
        <v>686</v>
      </c>
    </row>
    <row r="96" spans="1:18" ht="18" customHeight="1" thickBot="1">
      <c r="B96" s="1497"/>
      <c r="C96" s="343" t="s">
        <v>663</v>
      </c>
      <c r="D96" s="603">
        <v>1.18</v>
      </c>
      <c r="E96" s="334" t="s">
        <v>1145</v>
      </c>
      <c r="O96" s="1493"/>
      <c r="P96" s="359" t="s">
        <v>689</v>
      </c>
      <c r="Q96" s="360">
        <v>1.18</v>
      </c>
      <c r="R96" s="349" t="s">
        <v>684</v>
      </c>
    </row>
    <row r="97" spans="1:19" ht="18" customHeight="1" thickBot="1">
      <c r="B97" s="1497"/>
      <c r="C97" s="343" t="s">
        <v>664</v>
      </c>
      <c r="D97" s="603">
        <v>1.18</v>
      </c>
      <c r="E97" s="334" t="s">
        <v>1145</v>
      </c>
      <c r="O97" s="1493"/>
      <c r="P97" s="359" t="s">
        <v>690</v>
      </c>
      <c r="Q97" s="360">
        <v>1.18</v>
      </c>
      <c r="R97" s="349" t="s">
        <v>684</v>
      </c>
    </row>
    <row r="98" spans="1:19" ht="18" customHeight="1" thickBot="1">
      <c r="B98" s="1497"/>
      <c r="C98" s="343" t="s">
        <v>665</v>
      </c>
      <c r="D98" s="603">
        <v>1.18</v>
      </c>
      <c r="E98" s="334" t="s">
        <v>1145</v>
      </c>
      <c r="O98" s="1493"/>
      <c r="P98" s="359" t="s">
        <v>691</v>
      </c>
      <c r="Q98" s="360">
        <v>1.18</v>
      </c>
      <c r="R98" s="349" t="s">
        <v>684</v>
      </c>
    </row>
    <row r="99" spans="1:19" ht="18" customHeight="1" thickBot="1">
      <c r="B99" s="1497"/>
      <c r="C99" s="343" t="s">
        <v>666</v>
      </c>
      <c r="D99" s="603">
        <v>1.18</v>
      </c>
      <c r="E99" s="334" t="s">
        <v>1145</v>
      </c>
      <c r="O99" s="1494"/>
      <c r="P99" s="361" t="s">
        <v>692</v>
      </c>
      <c r="Q99" s="362">
        <v>1.18</v>
      </c>
      <c r="R99" s="349" t="s">
        <v>684</v>
      </c>
    </row>
    <row r="100" spans="1:19" ht="18" customHeight="1" thickBot="1">
      <c r="B100" s="1497"/>
      <c r="C100" s="343" t="s">
        <v>667</v>
      </c>
      <c r="D100" s="603">
        <v>1.18</v>
      </c>
      <c r="E100" s="334" t="s">
        <v>1145</v>
      </c>
      <c r="O100" s="363"/>
      <c r="P100" s="363"/>
      <c r="Q100" s="363"/>
      <c r="R100" s="349"/>
    </row>
    <row r="101" spans="1:19" ht="18" customHeight="1">
      <c r="B101" s="350"/>
      <c r="C101" s="350"/>
      <c r="D101" s="350"/>
      <c r="E101" s="350"/>
      <c r="O101" s="349" t="s">
        <v>675</v>
      </c>
      <c r="P101" s="349"/>
      <c r="Q101" s="349"/>
      <c r="R101" s="349"/>
      <c r="S101" s="349"/>
    </row>
    <row r="102" spans="1:19" ht="18" hidden="1" customHeight="1">
      <c r="B102" s="914" t="s">
        <v>1157</v>
      </c>
      <c r="O102" s="349" t="s">
        <v>676</v>
      </c>
      <c r="P102" s="349"/>
      <c r="Q102" s="349"/>
      <c r="R102" s="349"/>
      <c r="S102" s="349"/>
    </row>
    <row r="103" spans="1:19" ht="18" hidden="1" customHeight="1">
      <c r="B103" s="395"/>
      <c r="O103" s="349"/>
      <c r="P103" s="349"/>
      <c r="Q103" s="349"/>
      <c r="R103" s="349"/>
      <c r="S103" s="349"/>
    </row>
    <row r="104" spans="1:19" ht="18" hidden="1" customHeight="1">
      <c r="B104" s="803"/>
      <c r="O104" s="349"/>
      <c r="P104" s="349"/>
      <c r="Q104" s="349"/>
      <c r="R104" s="349"/>
      <c r="S104" s="349"/>
    </row>
    <row r="105" spans="1:19" ht="18" hidden="1" customHeight="1">
      <c r="B105" s="804"/>
      <c r="O105" s="349"/>
      <c r="P105" s="349"/>
      <c r="Q105" s="349"/>
      <c r="R105" s="349"/>
      <c r="S105" s="349"/>
    </row>
    <row r="106" spans="1:19" ht="18" customHeight="1" thickBot="1">
      <c r="B106" s="804"/>
      <c r="O106" s="1520" t="s">
        <v>694</v>
      </c>
      <c r="P106" s="1520"/>
      <c r="Q106" s="1520"/>
      <c r="S106" s="349"/>
    </row>
    <row r="107" spans="1:19" s="373" customFormat="1" ht="18" customHeight="1" thickBot="1">
      <c r="A107" s="322"/>
      <c r="B107" s="1496" t="s">
        <v>693</v>
      </c>
      <c r="C107" s="1496"/>
      <c r="D107" s="1496"/>
      <c r="E107" s="1496"/>
      <c r="F107" s="1496"/>
      <c r="G107" s="1496"/>
      <c r="H107" s="322"/>
      <c r="I107" s="322"/>
      <c r="J107" s="322"/>
      <c r="K107" s="322"/>
      <c r="L107" s="322"/>
      <c r="O107" s="397" t="s">
        <v>734</v>
      </c>
      <c r="P107" s="398" t="s">
        <v>735</v>
      </c>
      <c r="Q107" s="399" t="s">
        <v>736</v>
      </c>
    </row>
    <row r="108" spans="1:19" ht="18" customHeight="1" thickBot="1">
      <c r="A108" s="373"/>
      <c r="B108" s="364" t="s">
        <v>731</v>
      </c>
      <c r="C108" s="1113" t="s">
        <v>732</v>
      </c>
      <c r="D108" s="1114" t="s">
        <v>1435</v>
      </c>
      <c r="E108" s="364"/>
      <c r="F108" s="373"/>
      <c r="G108" s="373"/>
      <c r="H108" s="373"/>
      <c r="I108" s="373"/>
      <c r="J108" s="373"/>
      <c r="K108" s="373"/>
      <c r="L108" s="373"/>
      <c r="O108" s="1492" t="s">
        <v>682</v>
      </c>
      <c r="P108" s="354" t="s">
        <v>683</v>
      </c>
      <c r="Q108" s="355">
        <v>0.7</v>
      </c>
      <c r="R108" s="349" t="s">
        <v>684</v>
      </c>
      <c r="S108" s="349"/>
    </row>
    <row r="109" spans="1:19" ht="18" customHeight="1" thickBot="1">
      <c r="B109" s="1497" t="s">
        <v>659</v>
      </c>
      <c r="C109" s="343" t="s">
        <v>660</v>
      </c>
      <c r="D109" s="1108">
        <v>0.7</v>
      </c>
      <c r="E109" s="334"/>
      <c r="G109" s="1543" t="s">
        <v>1437</v>
      </c>
      <c r="H109" s="1543"/>
      <c r="O109" s="1493"/>
      <c r="P109" s="356" t="s">
        <v>685</v>
      </c>
      <c r="Q109" s="357">
        <v>0.3</v>
      </c>
      <c r="R109" s="358" t="s">
        <v>695</v>
      </c>
      <c r="S109" s="349"/>
    </row>
    <row r="110" spans="1:19" ht="18" customHeight="1" thickBot="1">
      <c r="B110" s="1497"/>
      <c r="C110" s="343" t="s">
        <v>661</v>
      </c>
      <c r="D110" s="602">
        <v>0.7</v>
      </c>
      <c r="E110" s="334"/>
      <c r="G110" s="1498" t="str">
        <f>IF(OR((D109&gt;0.7),D110&gt;0.7,D111&gt;0.7,D112&gt;0.7,D113&gt;0.7,D114&gt;0.7,D116&gt;0.7),"補助対象外の性能値です","")</f>
        <v/>
      </c>
      <c r="H110" s="1498"/>
      <c r="I110" s="1498"/>
      <c r="J110" s="1498"/>
      <c r="K110" s="1498"/>
      <c r="L110" s="1498"/>
      <c r="O110" s="1493"/>
      <c r="P110" s="356" t="s">
        <v>687</v>
      </c>
      <c r="Q110" s="357">
        <v>0.3</v>
      </c>
      <c r="R110" s="358" t="s">
        <v>695</v>
      </c>
      <c r="S110" s="349"/>
    </row>
    <row r="111" spans="1:19" ht="18" customHeight="1" thickBot="1">
      <c r="B111" s="1497"/>
      <c r="C111" s="343" t="s">
        <v>662</v>
      </c>
      <c r="D111" s="602">
        <v>0.7</v>
      </c>
      <c r="E111" s="334"/>
      <c r="O111" s="1493"/>
      <c r="P111" s="356" t="s">
        <v>688</v>
      </c>
      <c r="Q111" s="357">
        <v>0.3</v>
      </c>
      <c r="R111" s="358" t="s">
        <v>695</v>
      </c>
      <c r="S111" s="349"/>
    </row>
    <row r="112" spans="1:19" ht="18" customHeight="1" thickBot="1">
      <c r="B112" s="1497"/>
      <c r="C112" s="343" t="s">
        <v>663</v>
      </c>
      <c r="D112" s="602">
        <v>0.7</v>
      </c>
      <c r="E112" s="334"/>
      <c r="O112" s="1493"/>
      <c r="P112" s="359" t="s">
        <v>689</v>
      </c>
      <c r="Q112" s="360">
        <v>0.7</v>
      </c>
      <c r="R112" s="349" t="s">
        <v>684</v>
      </c>
      <c r="S112" s="349"/>
    </row>
    <row r="113" spans="1:19" ht="18" customHeight="1" thickBot="1">
      <c r="B113" s="1497"/>
      <c r="C113" s="343" t="s">
        <v>664</v>
      </c>
      <c r="D113" s="602">
        <v>0.7</v>
      </c>
      <c r="E113" s="334"/>
      <c r="O113" s="1493"/>
      <c r="P113" s="359" t="s">
        <v>690</v>
      </c>
      <c r="Q113" s="360">
        <v>0.7</v>
      </c>
      <c r="R113" s="349" t="s">
        <v>684</v>
      </c>
      <c r="S113" s="349"/>
    </row>
    <row r="114" spans="1:19" ht="18" customHeight="1" thickBot="1">
      <c r="B114" s="1497"/>
      <c r="C114" s="343" t="s">
        <v>665</v>
      </c>
      <c r="D114" s="602">
        <v>0.7</v>
      </c>
      <c r="E114" s="334"/>
      <c r="O114" s="1493"/>
      <c r="P114" s="359" t="s">
        <v>691</v>
      </c>
      <c r="Q114" s="360">
        <v>0.7</v>
      </c>
      <c r="R114" s="349" t="s">
        <v>684</v>
      </c>
      <c r="S114" s="349"/>
    </row>
    <row r="115" spans="1:19" ht="18" customHeight="1" thickBot="1">
      <c r="B115" s="1497"/>
      <c r="C115" s="343" t="s">
        <v>666</v>
      </c>
      <c r="D115" s="602">
        <v>0.7</v>
      </c>
      <c r="E115" s="334"/>
      <c r="O115" s="1494"/>
      <c r="P115" s="361" t="s">
        <v>692</v>
      </c>
      <c r="Q115" s="362">
        <v>0.7</v>
      </c>
      <c r="R115" s="349" t="s">
        <v>684</v>
      </c>
    </row>
    <row r="116" spans="1:19" ht="18" customHeight="1" thickBot="1">
      <c r="B116" s="1497"/>
      <c r="C116" s="343" t="s">
        <v>667</v>
      </c>
      <c r="D116" s="602">
        <v>0.7</v>
      </c>
      <c r="E116" s="334"/>
      <c r="O116" s="363"/>
      <c r="P116" s="363"/>
      <c r="Q116" s="363"/>
      <c r="R116" s="349"/>
    </row>
    <row r="117" spans="1:19" ht="18" customHeight="1">
      <c r="A117" s="334"/>
      <c r="B117" s="350"/>
      <c r="C117" s="350"/>
      <c r="D117" s="350"/>
      <c r="E117" s="334"/>
      <c r="F117" s="334"/>
      <c r="G117" s="334"/>
      <c r="H117" s="334"/>
      <c r="I117" s="334"/>
      <c r="J117" s="334"/>
      <c r="K117" s="334"/>
      <c r="L117" s="334"/>
      <c r="O117" s="363"/>
      <c r="P117" s="363"/>
      <c r="Q117" s="363"/>
      <c r="R117" s="349"/>
    </row>
    <row r="118" spans="1:19" ht="18" hidden="1" customHeight="1">
      <c r="A118" s="334"/>
      <c r="B118" s="350"/>
      <c r="C118" s="350"/>
      <c r="D118" s="350"/>
      <c r="E118" s="334"/>
      <c r="F118" s="334"/>
      <c r="G118" s="334"/>
      <c r="H118" s="334"/>
      <c r="I118" s="334"/>
      <c r="J118" s="334"/>
      <c r="K118" s="334"/>
      <c r="L118" s="334"/>
      <c r="O118" s="363"/>
      <c r="P118" s="363"/>
      <c r="Q118" s="363"/>
      <c r="R118" s="349"/>
    </row>
    <row r="119" spans="1:19" ht="18" hidden="1" customHeight="1">
      <c r="A119" s="334"/>
      <c r="B119" s="350"/>
      <c r="C119" s="350"/>
      <c r="D119" s="350"/>
      <c r="E119" s="334"/>
      <c r="F119" s="334"/>
      <c r="G119" s="334"/>
      <c r="H119" s="334"/>
      <c r="I119" s="334"/>
      <c r="J119" s="334"/>
      <c r="K119" s="334"/>
      <c r="L119" s="334"/>
      <c r="O119" s="363"/>
      <c r="P119" s="363"/>
      <c r="Q119" s="363"/>
      <c r="R119" s="349"/>
    </row>
    <row r="120" spans="1:19" ht="18" customHeight="1">
      <c r="A120" s="807"/>
      <c r="B120" s="808"/>
      <c r="C120" s="808"/>
      <c r="D120" s="808"/>
      <c r="E120" s="807"/>
      <c r="F120" s="807"/>
      <c r="G120" s="807"/>
      <c r="H120" s="807"/>
      <c r="I120" s="807"/>
      <c r="J120" s="807"/>
      <c r="K120" s="807"/>
      <c r="L120" s="807"/>
    </row>
    <row r="121" spans="1:19" ht="18" customHeight="1">
      <c r="A121" s="1071" t="s">
        <v>1409</v>
      </c>
      <c r="C121" s="350"/>
      <c r="D121" s="350"/>
      <c r="E121" s="350"/>
      <c r="F121" s="334"/>
      <c r="G121" s="363"/>
      <c r="H121" s="363"/>
      <c r="I121" s="363"/>
      <c r="J121" s="806"/>
      <c r="K121" s="334"/>
      <c r="L121" s="334"/>
    </row>
    <row r="122" spans="1:19" ht="18" customHeight="1">
      <c r="B122" s="1513" t="s">
        <v>1446</v>
      </c>
      <c r="C122" s="1514"/>
      <c r="D122" s="1514"/>
      <c r="E122" s="1514"/>
      <c r="F122" s="1514"/>
      <c r="G122" s="1514"/>
      <c r="H122" s="1514"/>
      <c r="I122" s="1514"/>
      <c r="J122" s="1514"/>
      <c r="K122" s="1514"/>
    </row>
    <row r="123" spans="1:19" ht="18" customHeight="1">
      <c r="B123" s="1514"/>
      <c r="C123" s="1514"/>
      <c r="D123" s="1514"/>
      <c r="E123" s="1514"/>
      <c r="F123" s="1514"/>
      <c r="G123" s="1514"/>
      <c r="H123" s="1514"/>
      <c r="I123" s="1514"/>
      <c r="J123" s="1514"/>
      <c r="K123" s="1514"/>
    </row>
    <row r="124" spans="1:19" ht="18" customHeight="1" thickBot="1">
      <c r="B124" s="1521" t="s">
        <v>1432</v>
      </c>
      <c r="C124" s="1522"/>
      <c r="D124" s="1522"/>
      <c r="E124" s="1522"/>
      <c r="F124" s="1522"/>
      <c r="G124" s="1522"/>
    </row>
    <row r="125" spans="1:19" ht="19.5" thickBot="1">
      <c r="B125" s="1549" t="s">
        <v>1439</v>
      </c>
      <c r="C125" s="1549"/>
      <c r="D125" s="1550"/>
      <c r="E125" s="1515" t="s">
        <v>1433</v>
      </c>
      <c r="F125" s="1516"/>
      <c r="G125" s="1115" t="s">
        <v>1078</v>
      </c>
    </row>
    <row r="126" spans="1:19" ht="18" customHeight="1" thickBot="1">
      <c r="B126" s="1551" t="s">
        <v>696</v>
      </c>
      <c r="C126" s="1552"/>
      <c r="D126" s="1553"/>
      <c r="E126" s="365">
        <v>5.95</v>
      </c>
      <c r="F126" s="366" t="s">
        <v>1145</v>
      </c>
      <c r="G126" s="1106">
        <v>0.876</v>
      </c>
    </row>
    <row r="127" spans="1:19" ht="18" customHeight="1" thickBot="1">
      <c r="B127" s="1554" t="s">
        <v>697</v>
      </c>
      <c r="C127" s="1555"/>
      <c r="D127" s="1556"/>
      <c r="E127" s="367">
        <v>5.61</v>
      </c>
      <c r="F127" s="366" t="s">
        <v>1145</v>
      </c>
      <c r="G127" s="368">
        <v>0.49</v>
      </c>
    </row>
    <row r="128" spans="1:19" ht="18" customHeight="1" thickBot="1">
      <c r="B128" s="1504" t="s">
        <v>698</v>
      </c>
      <c r="C128" s="1505"/>
      <c r="D128" s="1506"/>
      <c r="E128" s="369">
        <v>2.5</v>
      </c>
      <c r="F128" s="366" t="s">
        <v>1145</v>
      </c>
      <c r="G128" s="370">
        <v>0.41499999999999998</v>
      </c>
    </row>
    <row r="129" spans="2:22" ht="18" customHeight="1" thickBot="1">
      <c r="B129" s="1501" t="s">
        <v>699</v>
      </c>
      <c r="C129" s="1502"/>
      <c r="D129" s="1503"/>
      <c r="E129" s="371">
        <v>1.69</v>
      </c>
      <c r="F129" s="366" t="s">
        <v>1145</v>
      </c>
      <c r="G129" s="372">
        <v>0.40799999999999997</v>
      </c>
    </row>
    <row r="130" spans="2:22" ht="18" customHeight="1" thickBot="1">
      <c r="B130" s="1546" t="s">
        <v>1438</v>
      </c>
      <c r="C130" s="1547"/>
      <c r="D130" s="1548"/>
      <c r="E130" s="344"/>
      <c r="F130" s="366" t="s">
        <v>1145</v>
      </c>
      <c r="G130" s="344"/>
      <c r="H130" s="1499"/>
      <c r="I130" s="1500"/>
      <c r="J130" s="1500"/>
      <c r="K130" s="1500"/>
      <c r="L130" s="1500"/>
      <c r="O130" s="349" t="s">
        <v>675</v>
      </c>
      <c r="P130" s="349"/>
      <c r="Q130" s="349"/>
      <c r="R130" s="349"/>
      <c r="S130" s="349"/>
    </row>
    <row r="131" spans="2:22" ht="18" customHeight="1">
      <c r="B131" s="1557" t="s">
        <v>1445</v>
      </c>
      <c r="C131" s="1558"/>
      <c r="D131" s="1558"/>
      <c r="E131" s="1558"/>
      <c r="F131" s="1558"/>
      <c r="G131" s="1558"/>
      <c r="H131" s="1558"/>
      <c r="I131" s="1558"/>
      <c r="J131" s="1558"/>
      <c r="K131" s="1558"/>
      <c r="L131" s="1558"/>
      <c r="O131" s="349"/>
      <c r="P131" s="349"/>
      <c r="Q131" s="349"/>
      <c r="R131" s="349"/>
      <c r="S131" s="349"/>
    </row>
    <row r="132" spans="2:22" ht="18" customHeight="1">
      <c r="B132" s="1558"/>
      <c r="C132" s="1558"/>
      <c r="D132" s="1558"/>
      <c r="E132" s="1558"/>
      <c r="F132" s="1558"/>
      <c r="G132" s="1558"/>
      <c r="H132" s="1558"/>
      <c r="I132" s="1558"/>
      <c r="J132" s="1558"/>
      <c r="K132" s="1558"/>
      <c r="L132" s="1558"/>
      <c r="O132" s="349"/>
      <c r="P132" s="349"/>
      <c r="Q132" s="349"/>
      <c r="R132" s="349"/>
      <c r="S132" s="349"/>
    </row>
    <row r="133" spans="2:22" ht="18" hidden="1" customHeight="1">
      <c r="B133" s="1116"/>
      <c r="C133" s="1116"/>
      <c r="D133" s="1116"/>
      <c r="E133" s="1116"/>
      <c r="F133" s="1116"/>
      <c r="G133" s="1116"/>
      <c r="H133" s="1116"/>
      <c r="I133" s="1116"/>
      <c r="J133" s="1116"/>
      <c r="K133" s="1116"/>
      <c r="L133" s="1116"/>
      <c r="O133" s="349"/>
      <c r="P133" s="349"/>
      <c r="Q133" s="349"/>
      <c r="R133" s="349"/>
      <c r="S133" s="349"/>
    </row>
    <row r="134" spans="2:22" ht="18" hidden="1" customHeight="1">
      <c r="B134" s="803"/>
      <c r="C134" s="992"/>
      <c r="D134" s="992"/>
      <c r="E134" s="992"/>
      <c r="F134" s="992"/>
      <c r="G134" s="992"/>
      <c r="H134" s="992"/>
      <c r="I134" s="992"/>
      <c r="J134" s="992"/>
      <c r="K134" s="992"/>
      <c r="O134" s="349" t="s">
        <v>700</v>
      </c>
      <c r="P134" s="349"/>
      <c r="Q134" s="349"/>
      <c r="R134" s="349"/>
      <c r="S134" s="349"/>
    </row>
    <row r="135" spans="2:22" ht="18" customHeight="1">
      <c r="B135" s="1545" t="s">
        <v>1442</v>
      </c>
      <c r="C135" s="1545"/>
      <c r="D135" s="1545"/>
      <c r="E135" s="1545"/>
      <c r="F135" s="1545"/>
      <c r="G135" s="1545"/>
      <c r="H135" s="1545"/>
      <c r="I135" s="1545"/>
      <c r="J135" s="1545"/>
      <c r="K135" s="1545"/>
      <c r="L135" s="1545"/>
      <c r="O135" s="349" t="s">
        <v>701</v>
      </c>
      <c r="P135" s="349"/>
      <c r="Q135" s="349"/>
      <c r="R135" s="349"/>
      <c r="S135" s="349"/>
    </row>
    <row r="136" spans="2:22" ht="18" customHeight="1">
      <c r="B136" s="1545"/>
      <c r="C136" s="1545"/>
      <c r="D136" s="1545"/>
      <c r="E136" s="1545"/>
      <c r="F136" s="1545"/>
      <c r="G136" s="1545"/>
      <c r="H136" s="1545"/>
      <c r="I136" s="1545"/>
      <c r="J136" s="1545"/>
      <c r="K136" s="1545"/>
      <c r="L136" s="1545"/>
      <c r="O136" s="349"/>
      <c r="P136" s="349"/>
      <c r="Q136" s="349"/>
      <c r="R136" s="349"/>
      <c r="S136" s="349"/>
    </row>
    <row r="137" spans="2:22" ht="18" hidden="1" customHeight="1">
      <c r="B137" s="324"/>
      <c r="O137" s="349" t="s">
        <v>703</v>
      </c>
      <c r="P137" s="349"/>
      <c r="Q137" s="349"/>
      <c r="R137" s="349"/>
      <c r="S137" s="349"/>
    </row>
    <row r="138" spans="2:22" ht="25.5" customHeight="1" thickBot="1">
      <c r="B138" s="403" t="s">
        <v>1431</v>
      </c>
      <c r="C138" s="346"/>
      <c r="D138" s="346"/>
      <c r="E138" s="346"/>
      <c r="I138" s="1500" t="s">
        <v>702</v>
      </c>
      <c r="J138" s="1500"/>
      <c r="K138" s="1500"/>
      <c r="O138" s="1520" t="s">
        <v>705</v>
      </c>
      <c r="P138" s="1520"/>
      <c r="Q138" s="1520"/>
      <c r="R138" s="1520"/>
      <c r="S138" s="349"/>
    </row>
    <row r="139" spans="2:22" ht="22.5" thickBot="1">
      <c r="B139" s="396" t="s">
        <v>731</v>
      </c>
      <c r="C139" s="396" t="s">
        <v>732</v>
      </c>
      <c r="D139" s="1511" t="s">
        <v>733</v>
      </c>
      <c r="E139" s="1511"/>
      <c r="F139" s="1511"/>
      <c r="G139" s="364" t="s">
        <v>704</v>
      </c>
      <c r="H139" s="1111" t="s">
        <v>1436</v>
      </c>
      <c r="I139" s="1544" t="s">
        <v>704</v>
      </c>
      <c r="J139" s="1544"/>
      <c r="K139" s="1112" t="s">
        <v>1436</v>
      </c>
      <c r="O139" s="351" t="s">
        <v>679</v>
      </c>
      <c r="P139" s="352" t="s">
        <v>680</v>
      </c>
      <c r="Q139" s="352" t="s">
        <v>681</v>
      </c>
      <c r="R139" s="353" t="s">
        <v>706</v>
      </c>
      <c r="S139" s="349"/>
    </row>
    <row r="140" spans="2:22" ht="18" customHeight="1" thickBot="1">
      <c r="B140" s="1497" t="s">
        <v>668</v>
      </c>
      <c r="C140" s="343" t="s">
        <v>660</v>
      </c>
      <c r="D140" s="1523" t="s">
        <v>696</v>
      </c>
      <c r="E140" s="1524"/>
      <c r="F140" s="1525"/>
      <c r="G140" s="350">
        <f>INDEX($E$126:$E$130,V140,1)</f>
        <v>5.95</v>
      </c>
      <c r="H140" s="334">
        <f>INDEX($G$126:$G$130,V140,1)</f>
        <v>0.876</v>
      </c>
      <c r="J140" s="345" t="s">
        <v>1148</v>
      </c>
      <c r="K140" s="330">
        <v>0.876</v>
      </c>
      <c r="O140" s="1507" t="s">
        <v>707</v>
      </c>
      <c r="P140" s="354" t="s">
        <v>683</v>
      </c>
      <c r="Q140" s="374">
        <v>6.29</v>
      </c>
      <c r="R140" s="375">
        <v>0.96</v>
      </c>
      <c r="S140" s="349" t="s">
        <v>684</v>
      </c>
      <c r="V140" s="322">
        <f t="shared" ref="V140:V146" si="3">MATCH($D140,$B$126:$B$130,0)</f>
        <v>1</v>
      </c>
    </row>
    <row r="141" spans="2:22" ht="18" customHeight="1" thickBot="1">
      <c r="B141" s="1497"/>
      <c r="C141" s="343" t="s">
        <v>661</v>
      </c>
      <c r="D141" s="1526" t="s">
        <v>696</v>
      </c>
      <c r="E141" s="1524"/>
      <c r="F141" s="1525"/>
      <c r="G141" s="350">
        <f t="shared" ref="G141:G146" si="4">INDEX($E$126:$E$130,V141,1)</f>
        <v>5.95</v>
      </c>
      <c r="H141" s="334">
        <f t="shared" ref="H141:H146" si="5">INDEX($G$126:$G$130,V141,1)</f>
        <v>0.876</v>
      </c>
      <c r="O141" s="1508"/>
      <c r="P141" s="359" t="s">
        <v>708</v>
      </c>
      <c r="Q141" s="376">
        <v>6.29</v>
      </c>
      <c r="R141" s="377">
        <v>0.96</v>
      </c>
      <c r="S141" s="349" t="s">
        <v>684</v>
      </c>
      <c r="V141" s="322">
        <f t="shared" si="3"/>
        <v>1</v>
      </c>
    </row>
    <row r="142" spans="2:22" ht="18" customHeight="1" thickBot="1">
      <c r="B142" s="1497"/>
      <c r="C142" s="343" t="s">
        <v>662</v>
      </c>
      <c r="D142" s="1526" t="s">
        <v>696</v>
      </c>
      <c r="E142" s="1524"/>
      <c r="F142" s="1525"/>
      <c r="G142" s="350">
        <f t="shared" si="4"/>
        <v>5.95</v>
      </c>
      <c r="H142" s="334">
        <f t="shared" si="5"/>
        <v>0.876</v>
      </c>
      <c r="O142" s="1508"/>
      <c r="P142" s="359" t="s">
        <v>709</v>
      </c>
      <c r="Q142" s="376">
        <v>6.29</v>
      </c>
      <c r="R142" s="377">
        <v>0.96</v>
      </c>
      <c r="S142" s="349" t="s">
        <v>684</v>
      </c>
      <c r="V142" s="322">
        <f t="shared" si="3"/>
        <v>1</v>
      </c>
    </row>
    <row r="143" spans="2:22" ht="18" customHeight="1" thickBot="1">
      <c r="B143" s="1497"/>
      <c r="C143" s="343" t="s">
        <v>663</v>
      </c>
      <c r="D143" s="1526" t="s">
        <v>696</v>
      </c>
      <c r="E143" s="1524"/>
      <c r="F143" s="1525"/>
      <c r="G143" s="350">
        <f t="shared" si="4"/>
        <v>5.95</v>
      </c>
      <c r="H143" s="334">
        <f t="shared" si="5"/>
        <v>0.876</v>
      </c>
      <c r="O143" s="1508"/>
      <c r="P143" s="359" t="s">
        <v>710</v>
      </c>
      <c r="Q143" s="376">
        <v>6.29</v>
      </c>
      <c r="R143" s="377">
        <v>0.96</v>
      </c>
      <c r="S143" s="349" t="s">
        <v>684</v>
      </c>
      <c r="V143" s="322">
        <f t="shared" si="3"/>
        <v>1</v>
      </c>
    </row>
    <row r="144" spans="2:22" ht="18" customHeight="1" thickBot="1">
      <c r="B144" s="1497"/>
      <c r="C144" s="343" t="s">
        <v>664</v>
      </c>
      <c r="D144" s="1526" t="s">
        <v>696</v>
      </c>
      <c r="E144" s="1524"/>
      <c r="F144" s="1525"/>
      <c r="G144" s="350">
        <f t="shared" si="4"/>
        <v>5.95</v>
      </c>
      <c r="H144" s="334">
        <f t="shared" si="5"/>
        <v>0.876</v>
      </c>
      <c r="O144" s="1508"/>
      <c r="P144" s="356" t="s">
        <v>711</v>
      </c>
      <c r="Q144" s="378">
        <v>3</v>
      </c>
      <c r="R144" s="379">
        <v>0.8</v>
      </c>
      <c r="S144" s="358" t="s">
        <v>712</v>
      </c>
      <c r="V144" s="322">
        <f t="shared" si="3"/>
        <v>1</v>
      </c>
    </row>
    <row r="145" spans="1:22" ht="18" customHeight="1" thickBot="1">
      <c r="B145" s="1497"/>
      <c r="C145" s="343" t="s">
        <v>665</v>
      </c>
      <c r="D145" s="1526" t="s">
        <v>696</v>
      </c>
      <c r="E145" s="1524"/>
      <c r="F145" s="1525"/>
      <c r="G145" s="350">
        <f t="shared" si="4"/>
        <v>5.95</v>
      </c>
      <c r="H145" s="334">
        <f t="shared" si="5"/>
        <v>0.876</v>
      </c>
      <c r="O145" s="1508"/>
      <c r="P145" s="356" t="s">
        <v>713</v>
      </c>
      <c r="Q145" s="378">
        <v>3</v>
      </c>
      <c r="R145" s="379">
        <v>0.8</v>
      </c>
      <c r="S145" s="358" t="s">
        <v>712</v>
      </c>
      <c r="V145" s="322">
        <f t="shared" si="3"/>
        <v>1</v>
      </c>
    </row>
    <row r="146" spans="1:22" ht="18" customHeight="1" thickBot="1">
      <c r="B146" s="1497"/>
      <c r="C146" s="343" t="s">
        <v>666</v>
      </c>
      <c r="D146" s="1526" t="s">
        <v>696</v>
      </c>
      <c r="E146" s="1524"/>
      <c r="F146" s="1525"/>
      <c r="G146" s="350">
        <f t="shared" si="4"/>
        <v>5.95</v>
      </c>
      <c r="H146" s="334">
        <f t="shared" si="5"/>
        <v>0.876</v>
      </c>
      <c r="O146" s="1508"/>
      <c r="P146" s="356" t="s">
        <v>714</v>
      </c>
      <c r="Q146" s="378">
        <v>3</v>
      </c>
      <c r="R146" s="379">
        <v>0.8</v>
      </c>
      <c r="S146" s="358" t="s">
        <v>712</v>
      </c>
      <c r="V146" s="322">
        <f t="shared" si="3"/>
        <v>1</v>
      </c>
    </row>
    <row r="147" spans="1:22" ht="18" customHeight="1" thickBot="1">
      <c r="B147" s="1497"/>
      <c r="C147" s="343" t="s">
        <v>667</v>
      </c>
      <c r="D147" s="1526" t="s">
        <v>696</v>
      </c>
      <c r="E147" s="1524"/>
      <c r="F147" s="1525"/>
      <c r="G147" s="350">
        <f>INDEX($E$126:$E$130,V149,1)</f>
        <v>5.95</v>
      </c>
      <c r="H147" s="334">
        <f>INDEX($G$126:$G$130,V149,1)</f>
        <v>0.876</v>
      </c>
      <c r="O147" s="1509"/>
      <c r="P147" s="809"/>
      <c r="Q147" s="810"/>
      <c r="R147" s="811"/>
      <c r="S147" s="358"/>
    </row>
    <row r="148" spans="1:22" ht="18" customHeight="1">
      <c r="B148" s="350"/>
      <c r="C148" s="350"/>
      <c r="D148" s="350"/>
      <c r="E148" s="350"/>
      <c r="F148" s="350"/>
      <c r="G148" s="350"/>
      <c r="H148" s="334"/>
      <c r="O148" s="1509"/>
      <c r="P148" s="809"/>
      <c r="Q148" s="810"/>
      <c r="R148" s="811"/>
      <c r="S148" s="358"/>
    </row>
    <row r="149" spans="1:22" ht="18" customHeight="1" thickBot="1">
      <c r="B149" s="350"/>
      <c r="C149" s="350"/>
      <c r="D149" s="350"/>
      <c r="E149" s="350"/>
      <c r="F149" s="350"/>
      <c r="G149" s="350"/>
      <c r="H149" s="334"/>
      <c r="O149" s="1510"/>
      <c r="P149" s="361" t="s">
        <v>692</v>
      </c>
      <c r="Q149" s="380">
        <v>6.29</v>
      </c>
      <c r="R149" s="381">
        <v>0.96</v>
      </c>
      <c r="S149" s="349" t="s">
        <v>684</v>
      </c>
      <c r="V149" s="322">
        <f>MATCH($D147,$B$126:$B$130,0)</f>
        <v>1</v>
      </c>
    </row>
    <row r="150" spans="1:22" ht="18" hidden="1" customHeight="1" thickBot="1"/>
    <row r="151" spans="1:22" ht="18" hidden="1" customHeight="1">
      <c r="A151" s="382">
        <v>4</v>
      </c>
      <c r="B151" s="383" t="s">
        <v>715</v>
      </c>
      <c r="C151" s="384"/>
      <c r="D151" s="384"/>
      <c r="E151" s="384"/>
      <c r="F151" s="384"/>
      <c r="G151" s="384"/>
      <c r="H151" s="384"/>
      <c r="I151" s="384"/>
      <c r="J151" s="384"/>
      <c r="K151" s="385"/>
    </row>
    <row r="152" spans="1:22" ht="18" hidden="1" customHeight="1">
      <c r="A152" s="386"/>
      <c r="K152" s="387"/>
    </row>
    <row r="153" spans="1:22" ht="18" hidden="1" customHeight="1">
      <c r="A153" s="386"/>
      <c r="B153" s="322" t="s">
        <v>716</v>
      </c>
      <c r="K153" s="387"/>
    </row>
    <row r="154" spans="1:22" ht="18" hidden="1" customHeight="1">
      <c r="A154" s="386"/>
      <c r="B154" s="1519" t="s">
        <v>717</v>
      </c>
      <c r="C154" s="1519"/>
      <c r="D154" s="1519"/>
      <c r="E154" s="1519"/>
      <c r="F154" s="1519"/>
      <c r="K154" s="387"/>
    </row>
    <row r="155" spans="1:22" ht="18" hidden="1" customHeight="1">
      <c r="A155" s="386"/>
      <c r="B155" s="388" t="s">
        <v>718</v>
      </c>
      <c r="C155" s="388" t="s">
        <v>719</v>
      </c>
      <c r="D155" s="388" t="s">
        <v>720</v>
      </c>
      <c r="E155" s="388" t="s">
        <v>721</v>
      </c>
      <c r="F155" s="388" t="s">
        <v>722</v>
      </c>
      <c r="K155" s="387"/>
    </row>
    <row r="156" spans="1:22" ht="18" hidden="1" customHeight="1">
      <c r="A156" s="386"/>
      <c r="B156" s="389" t="s">
        <v>723</v>
      </c>
      <c r="C156" s="388" t="s">
        <v>636</v>
      </c>
      <c r="D156" s="390">
        <f t="shared" ref="D156:F157" si="6">D166+D176+D186+D196+D216+D206</f>
        <v>0</v>
      </c>
      <c r="E156" s="390">
        <f t="shared" si="6"/>
        <v>0</v>
      </c>
      <c r="F156" s="390">
        <f t="shared" si="6"/>
        <v>0</v>
      </c>
      <c r="K156" s="387"/>
    </row>
    <row r="157" spans="1:22" ht="18" hidden="1" customHeight="1">
      <c r="A157" s="386"/>
      <c r="B157" s="389" t="s">
        <v>724</v>
      </c>
      <c r="C157" s="388" t="s">
        <v>725</v>
      </c>
      <c r="D157" s="996">
        <f t="shared" si="6"/>
        <v>0</v>
      </c>
      <c r="E157" s="996">
        <f t="shared" si="6"/>
        <v>0</v>
      </c>
      <c r="F157" s="996">
        <f t="shared" si="6"/>
        <v>0</v>
      </c>
      <c r="K157" s="387"/>
    </row>
    <row r="158" spans="1:22" ht="18" hidden="1" customHeight="1">
      <c r="A158" s="386"/>
      <c r="B158" s="389" t="s">
        <v>726</v>
      </c>
      <c r="C158" s="388" t="s">
        <v>246</v>
      </c>
      <c r="D158" s="391" t="e">
        <f>(1-D160/D159)*100</f>
        <v>#DIV/0!</v>
      </c>
      <c r="E158" s="391" t="e">
        <f t="shared" ref="E158:F158" si="7">(1-E160/E159)*100</f>
        <v>#DIV/0!</v>
      </c>
      <c r="F158" s="391" t="e">
        <f t="shared" si="7"/>
        <v>#DIV/0!</v>
      </c>
      <c r="K158" s="387"/>
    </row>
    <row r="159" spans="1:22" ht="18" hidden="1" customHeight="1">
      <c r="A159" s="386"/>
      <c r="B159" s="389" t="s">
        <v>727</v>
      </c>
      <c r="C159" s="388" t="s">
        <v>725</v>
      </c>
      <c r="D159" s="559">
        <f t="shared" ref="D159:F162" si="8">D169+D179+D189+D199+D219+D209</f>
        <v>0</v>
      </c>
      <c r="E159" s="559">
        <f t="shared" si="8"/>
        <v>0</v>
      </c>
      <c r="F159" s="559">
        <f t="shared" si="8"/>
        <v>0</v>
      </c>
      <c r="K159" s="387"/>
    </row>
    <row r="160" spans="1:22" ht="18" hidden="1" customHeight="1">
      <c r="A160" s="386"/>
      <c r="B160" s="389" t="s">
        <v>728</v>
      </c>
      <c r="C160" s="388" t="s">
        <v>725</v>
      </c>
      <c r="D160" s="559">
        <f t="shared" si="8"/>
        <v>0</v>
      </c>
      <c r="E160" s="559">
        <f t="shared" si="8"/>
        <v>0</v>
      </c>
      <c r="F160" s="559">
        <f t="shared" si="8"/>
        <v>0</v>
      </c>
      <c r="K160" s="387"/>
    </row>
    <row r="161" spans="1:11" ht="18" hidden="1" customHeight="1">
      <c r="A161" s="386"/>
      <c r="B161" s="389" t="s">
        <v>729</v>
      </c>
      <c r="C161" s="388" t="s">
        <v>636</v>
      </c>
      <c r="D161" s="990">
        <f t="shared" si="8"/>
        <v>0</v>
      </c>
      <c r="E161" s="990">
        <f t="shared" si="8"/>
        <v>0</v>
      </c>
      <c r="F161" s="990">
        <f t="shared" si="8"/>
        <v>0</v>
      </c>
      <c r="K161" s="387"/>
    </row>
    <row r="162" spans="1:11" ht="18" hidden="1" customHeight="1" thickBot="1">
      <c r="A162" s="392"/>
      <c r="B162" s="389" t="s">
        <v>730</v>
      </c>
      <c r="C162" s="389" t="s">
        <v>636</v>
      </c>
      <c r="D162" s="390">
        <f t="shared" si="8"/>
        <v>0</v>
      </c>
      <c r="E162" s="390">
        <f t="shared" si="8"/>
        <v>0</v>
      </c>
      <c r="F162" s="390">
        <f t="shared" si="8"/>
        <v>0</v>
      </c>
      <c r="G162" s="393"/>
      <c r="H162" s="393"/>
      <c r="I162" s="393"/>
      <c r="J162" s="393"/>
      <c r="K162" s="394"/>
    </row>
    <row r="163" spans="1:11" ht="18" hidden="1" customHeight="1">
      <c r="A163" s="334"/>
      <c r="B163" s="334"/>
      <c r="C163" s="334"/>
      <c r="D163" s="560"/>
      <c r="E163" s="560"/>
      <c r="F163" s="560"/>
      <c r="G163" s="334"/>
      <c r="H163" s="334"/>
      <c r="I163" s="334"/>
      <c r="J163" s="334"/>
      <c r="K163" s="334"/>
    </row>
    <row r="164" spans="1:11" ht="18" hidden="1" customHeight="1">
      <c r="B164" s="388" t="s">
        <v>1369</v>
      </c>
      <c r="C164" s="322" t="s">
        <v>1382</v>
      </c>
    </row>
    <row r="165" spans="1:11" ht="18" hidden="1" customHeight="1" thickBot="1">
      <c r="B165" s="388" t="s">
        <v>718</v>
      </c>
      <c r="C165" s="388" t="s">
        <v>719</v>
      </c>
      <c r="D165" s="388" t="s">
        <v>720</v>
      </c>
      <c r="E165" s="388" t="s">
        <v>721</v>
      </c>
      <c r="F165" s="388" t="s">
        <v>722</v>
      </c>
    </row>
    <row r="166" spans="1:11" ht="18" hidden="1" customHeight="1" thickBot="1">
      <c r="B166" s="389" t="s">
        <v>723</v>
      </c>
      <c r="C166" s="388" t="s">
        <v>636</v>
      </c>
      <c r="D166" s="390">
        <f>さいたま市屋根遮熱!E34*H166</f>
        <v>0</v>
      </c>
      <c r="E166" s="390">
        <f>熊谷市屋根遮熱!E34*H166</f>
        <v>0</v>
      </c>
      <c r="F166" s="390">
        <f>秩父市屋根遮熱!E34*H166</f>
        <v>0</v>
      </c>
      <c r="H166" s="986" t="str">
        <f>IF(P41=TRUE,"1","0")</f>
        <v>0</v>
      </c>
    </row>
    <row r="167" spans="1:11" ht="18" hidden="1" customHeight="1">
      <c r="B167" s="389" t="s">
        <v>724</v>
      </c>
      <c r="C167" s="388" t="s">
        <v>725</v>
      </c>
      <c r="D167" s="559">
        <f>さいたま市屋根遮熱!E35*H166</f>
        <v>0</v>
      </c>
      <c r="E167" s="559">
        <f>熊谷市屋根遮熱!E35*H166</f>
        <v>0</v>
      </c>
      <c r="F167" s="559">
        <f>秩父市屋根遮熱!E35*H166</f>
        <v>0</v>
      </c>
    </row>
    <row r="168" spans="1:11" ht="18" hidden="1" customHeight="1">
      <c r="B168" s="389" t="s">
        <v>726</v>
      </c>
      <c r="C168" s="388" t="s">
        <v>246</v>
      </c>
      <c r="D168" s="391" t="e">
        <f>(1-D170/D169)*100*H166</f>
        <v>#DIV/0!</v>
      </c>
      <c r="E168" s="391" t="e">
        <f>(1-E170/E169)*100*H166</f>
        <v>#DIV/0!</v>
      </c>
      <c r="F168" s="391" t="e">
        <f>(1-F170/F169)*100*H166</f>
        <v>#DIV/0!</v>
      </c>
    </row>
    <row r="169" spans="1:11" ht="18" hidden="1" customHeight="1">
      <c r="B169" s="389" t="s">
        <v>727</v>
      </c>
      <c r="C169" s="388" t="s">
        <v>725</v>
      </c>
      <c r="D169" s="391">
        <f>さいたま市屋根遮熱!T35*H166</f>
        <v>0</v>
      </c>
      <c r="E169" s="391">
        <f>熊谷市屋根遮熱!T35*H166</f>
        <v>0</v>
      </c>
      <c r="F169" s="391">
        <f>秩父市屋根遮熱!T35*H166</f>
        <v>0</v>
      </c>
    </row>
    <row r="170" spans="1:11" ht="18" hidden="1" customHeight="1">
      <c r="B170" s="389" t="s">
        <v>728</v>
      </c>
      <c r="C170" s="388" t="s">
        <v>725</v>
      </c>
      <c r="D170" s="391">
        <f>さいたま市屋根遮熱!AB35*H166</f>
        <v>0</v>
      </c>
      <c r="E170" s="391">
        <f>熊谷市屋根遮熱!AB35*H166</f>
        <v>0</v>
      </c>
      <c r="F170" s="391">
        <f>秩父市屋根遮熱!AB35*H166</f>
        <v>0</v>
      </c>
    </row>
    <row r="171" spans="1:11" ht="18" hidden="1" customHeight="1">
      <c r="B171" s="389" t="s">
        <v>729</v>
      </c>
      <c r="C171" s="388" t="s">
        <v>636</v>
      </c>
      <c r="D171" s="558">
        <f>さいたま市屋根遮熱!T34*H166</f>
        <v>0</v>
      </c>
      <c r="E171" s="558">
        <f>熊谷市屋根遮熱!T34*H166</f>
        <v>0</v>
      </c>
      <c r="F171" s="558">
        <f>秩父市屋根遮熱!T34*H166</f>
        <v>0</v>
      </c>
    </row>
    <row r="172" spans="1:11" ht="18" hidden="1" customHeight="1">
      <c r="B172" s="389" t="s">
        <v>730</v>
      </c>
      <c r="C172" s="389" t="s">
        <v>636</v>
      </c>
      <c r="D172" s="558">
        <f>さいたま市屋根遮熱!AB34*H166</f>
        <v>0</v>
      </c>
      <c r="E172" s="558">
        <f>熊谷市屋根遮熱!AB34*H166</f>
        <v>0</v>
      </c>
      <c r="F172" s="558">
        <f>秩父市屋根遮熱!AB34*H166</f>
        <v>0</v>
      </c>
    </row>
    <row r="173" spans="1:11" ht="18" hidden="1" customHeight="1">
      <c r="B173" s="334"/>
      <c r="C173" s="334"/>
      <c r="D173" s="561"/>
      <c r="E173" s="561"/>
      <c r="F173" s="561"/>
    </row>
    <row r="174" spans="1:11" ht="18" hidden="1" customHeight="1">
      <c r="B174" s="388" t="s">
        <v>1370</v>
      </c>
      <c r="C174" s="322" t="s">
        <v>1380</v>
      </c>
    </row>
    <row r="175" spans="1:11" ht="18" hidden="1" customHeight="1" thickBot="1">
      <c r="B175" s="388" t="s">
        <v>718</v>
      </c>
      <c r="C175" s="388" t="s">
        <v>719</v>
      </c>
      <c r="D175" s="388" t="s">
        <v>720</v>
      </c>
      <c r="E175" s="388" t="s">
        <v>721</v>
      </c>
      <c r="F175" s="388" t="s">
        <v>722</v>
      </c>
    </row>
    <row r="176" spans="1:11" ht="18" hidden="1" customHeight="1" thickBot="1">
      <c r="B176" s="389" t="s">
        <v>723</v>
      </c>
      <c r="C176" s="388" t="s">
        <v>636</v>
      </c>
      <c r="D176" s="390">
        <f>さいたま市屋根断熱!E34*H176</f>
        <v>0</v>
      </c>
      <c r="E176" s="390">
        <f>熊谷市屋根断熱!E34*H176</f>
        <v>0</v>
      </c>
      <c r="F176" s="390">
        <f>秩父市屋根断熱!E34*H176</f>
        <v>0</v>
      </c>
      <c r="H176" s="986" t="str">
        <f>IF(P42=TRUE,"1","0")</f>
        <v>0</v>
      </c>
    </row>
    <row r="177" spans="2:8" ht="18" hidden="1" customHeight="1">
      <c r="B177" s="389" t="s">
        <v>724</v>
      </c>
      <c r="C177" s="388" t="s">
        <v>725</v>
      </c>
      <c r="D177" s="559">
        <f>さいたま市屋根断熱!E35*H176</f>
        <v>0</v>
      </c>
      <c r="E177" s="559">
        <f>熊谷市屋根断熱!E35*H176</f>
        <v>0</v>
      </c>
      <c r="F177" s="559">
        <f>秩父市屋根断熱!E35*H176</f>
        <v>0</v>
      </c>
    </row>
    <row r="178" spans="2:8" ht="18" hidden="1" customHeight="1">
      <c r="B178" s="389" t="s">
        <v>726</v>
      </c>
      <c r="C178" s="388" t="s">
        <v>246</v>
      </c>
      <c r="D178" s="391" t="e">
        <f>(1-D180/D179)*100*H176</f>
        <v>#DIV/0!</v>
      </c>
      <c r="E178" s="391" t="e">
        <f>(1-E180/E179)*100*H176</f>
        <v>#DIV/0!</v>
      </c>
      <c r="F178" s="391" t="e">
        <f>(1-F180/F179)*100*H176</f>
        <v>#DIV/0!</v>
      </c>
    </row>
    <row r="179" spans="2:8" ht="18" hidden="1" customHeight="1">
      <c r="B179" s="389" t="s">
        <v>727</v>
      </c>
      <c r="C179" s="388" t="s">
        <v>725</v>
      </c>
      <c r="D179" s="391">
        <f>さいたま市屋根断熱!T35*H176</f>
        <v>0</v>
      </c>
      <c r="E179" s="391">
        <f>熊谷市屋根断熱!T35*H176</f>
        <v>0</v>
      </c>
      <c r="F179" s="391">
        <f>秩父市屋根断熱!T35*H176</f>
        <v>0</v>
      </c>
    </row>
    <row r="180" spans="2:8" ht="18" hidden="1" customHeight="1">
      <c r="B180" s="389" t="s">
        <v>728</v>
      </c>
      <c r="C180" s="388" t="s">
        <v>725</v>
      </c>
      <c r="D180" s="391">
        <f>さいたま市屋根断熱!AB35*H176</f>
        <v>0</v>
      </c>
      <c r="E180" s="391">
        <f>熊谷市屋根断熱!AB35*H176</f>
        <v>0</v>
      </c>
      <c r="F180" s="391">
        <f>秩父市屋根断熱!AB35*H176</f>
        <v>0</v>
      </c>
    </row>
    <row r="181" spans="2:8" ht="18" hidden="1" customHeight="1">
      <c r="B181" s="389" t="s">
        <v>729</v>
      </c>
      <c r="C181" s="388" t="s">
        <v>636</v>
      </c>
      <c r="D181" s="991">
        <f>さいたま市屋根断熱!T34*H176</f>
        <v>0</v>
      </c>
      <c r="E181" s="991">
        <f>熊谷市屋根断熱!T34*H176</f>
        <v>0</v>
      </c>
      <c r="F181" s="991">
        <f>秩父市屋根断熱!T34*H176</f>
        <v>0</v>
      </c>
    </row>
    <row r="182" spans="2:8" ht="18" hidden="1" customHeight="1">
      <c r="B182" s="389" t="s">
        <v>730</v>
      </c>
      <c r="C182" s="389" t="s">
        <v>636</v>
      </c>
      <c r="D182" s="558">
        <f>さいたま市屋根断熱!AB34*H176</f>
        <v>0</v>
      </c>
      <c r="E182" s="558">
        <f>熊谷市屋根断熱!AB34*H176</f>
        <v>0</v>
      </c>
      <c r="F182" s="558">
        <f>秩父市屋根断熱!AB34*H176</f>
        <v>0</v>
      </c>
    </row>
    <row r="183" spans="2:8" ht="18" hidden="1" customHeight="1">
      <c r="B183" s="334"/>
      <c r="C183" s="334"/>
      <c r="D183" s="561"/>
      <c r="E183" s="561"/>
      <c r="F183" s="561"/>
    </row>
    <row r="184" spans="2:8" ht="18" hidden="1" customHeight="1">
      <c r="B184" s="388" t="s">
        <v>1371</v>
      </c>
      <c r="C184" s="322" t="s">
        <v>1379</v>
      </c>
    </row>
    <row r="185" spans="2:8" ht="18" hidden="1" customHeight="1" thickBot="1">
      <c r="B185" s="388" t="s">
        <v>718</v>
      </c>
      <c r="C185" s="388" t="s">
        <v>719</v>
      </c>
      <c r="D185" s="388" t="s">
        <v>720</v>
      </c>
      <c r="E185" s="388" t="s">
        <v>721</v>
      </c>
      <c r="F185" s="388" t="s">
        <v>722</v>
      </c>
    </row>
    <row r="186" spans="2:8" ht="18" hidden="1" customHeight="1" thickBot="1">
      <c r="B186" s="389" t="s">
        <v>723</v>
      </c>
      <c r="C186" s="388" t="s">
        <v>636</v>
      </c>
      <c r="D186" s="390">
        <f>さいたま市外壁遮熱!E63*H186</f>
        <v>0</v>
      </c>
      <c r="E186" s="390">
        <f>熊谷市外壁遮熱!E63*H186</f>
        <v>0</v>
      </c>
      <c r="F186" s="390">
        <f>秩父市外壁遮熱!E63*H186</f>
        <v>0</v>
      </c>
      <c r="H186" s="986" t="str">
        <f>IF(P44=TRUE,"1","0")</f>
        <v>0</v>
      </c>
    </row>
    <row r="187" spans="2:8" ht="18" hidden="1" customHeight="1">
      <c r="B187" s="389" t="s">
        <v>724</v>
      </c>
      <c r="C187" s="388" t="s">
        <v>725</v>
      </c>
      <c r="D187" s="559">
        <f>さいたま市外壁遮熱!E64*H186</f>
        <v>0</v>
      </c>
      <c r="E187" s="559">
        <f>熊谷市外壁遮熱!E64*H186</f>
        <v>0</v>
      </c>
      <c r="F187" s="559">
        <f>秩父市外壁遮熱!E64*H186</f>
        <v>0</v>
      </c>
    </row>
    <row r="188" spans="2:8" ht="18" hidden="1" customHeight="1">
      <c r="B188" s="389" t="s">
        <v>726</v>
      </c>
      <c r="C188" s="388" t="s">
        <v>246</v>
      </c>
      <c r="D188" s="391" t="e">
        <f>(1-D190/D189)*100*H186</f>
        <v>#DIV/0!</v>
      </c>
      <c r="E188" s="391" t="e">
        <f>(1-E190/E189)*100*H186</f>
        <v>#DIV/0!</v>
      </c>
      <c r="F188" s="391" t="e">
        <f>(1-F190/F189)*100*H186</f>
        <v>#DIV/0!</v>
      </c>
    </row>
    <row r="189" spans="2:8" ht="18" hidden="1" customHeight="1">
      <c r="B189" s="389" t="s">
        <v>727</v>
      </c>
      <c r="C189" s="388" t="s">
        <v>725</v>
      </c>
      <c r="D189" s="391">
        <f>さいたま市外壁遮熱!T64*H186</f>
        <v>0</v>
      </c>
      <c r="E189" s="391">
        <f>熊谷市外壁遮熱!T64*H186</f>
        <v>0</v>
      </c>
      <c r="F189" s="391">
        <f>秩父市外壁遮熱!T64*H186</f>
        <v>0</v>
      </c>
    </row>
    <row r="190" spans="2:8" ht="18" hidden="1" customHeight="1">
      <c r="B190" s="389" t="s">
        <v>728</v>
      </c>
      <c r="C190" s="388" t="s">
        <v>725</v>
      </c>
      <c r="D190" s="391">
        <f>さいたま市外壁遮熱!AB64*H186</f>
        <v>0</v>
      </c>
      <c r="E190" s="391">
        <f>熊谷市外壁遮熱!AB64*H186</f>
        <v>0</v>
      </c>
      <c r="F190" s="391">
        <f>秩父市外壁遮熱!AB64*H186</f>
        <v>0</v>
      </c>
    </row>
    <row r="191" spans="2:8" ht="18" hidden="1" customHeight="1">
      <c r="B191" s="389" t="s">
        <v>729</v>
      </c>
      <c r="C191" s="388" t="s">
        <v>636</v>
      </c>
      <c r="D191" s="991">
        <f>さいたま市外壁遮熱!T63*H186</f>
        <v>0</v>
      </c>
      <c r="E191" s="991">
        <f>熊谷市外壁遮熱!T63*H186</f>
        <v>0</v>
      </c>
      <c r="F191" s="991">
        <f>秩父市外壁遮熱!T63*H186</f>
        <v>0</v>
      </c>
    </row>
    <row r="192" spans="2:8" ht="18" hidden="1" customHeight="1">
      <c r="B192" s="389" t="s">
        <v>730</v>
      </c>
      <c r="C192" s="389" t="s">
        <v>636</v>
      </c>
      <c r="D192" s="558">
        <f>さいたま市外壁遮熱!AB63*H186</f>
        <v>0</v>
      </c>
      <c r="E192" s="558">
        <f>熊谷市外壁遮熱!AB63*H186</f>
        <v>0</v>
      </c>
      <c r="F192" s="558">
        <f>秩父市外壁遮熱!AB63*H186</f>
        <v>0</v>
      </c>
    </row>
    <row r="193" spans="2:8" ht="18" hidden="1" customHeight="1">
      <c r="B193" s="334"/>
      <c r="C193" s="334"/>
      <c r="D193" s="561"/>
      <c r="E193" s="561"/>
      <c r="F193" s="561"/>
    </row>
    <row r="194" spans="2:8" ht="18" hidden="1" customHeight="1">
      <c r="B194" s="388" t="s">
        <v>1372</v>
      </c>
      <c r="C194" s="322" t="s">
        <v>1381</v>
      </c>
    </row>
    <row r="195" spans="2:8" ht="18" hidden="1" customHeight="1" thickBot="1">
      <c r="B195" s="388" t="s">
        <v>718</v>
      </c>
      <c r="C195" s="388" t="s">
        <v>719</v>
      </c>
      <c r="D195" s="388" t="s">
        <v>720</v>
      </c>
      <c r="E195" s="388" t="s">
        <v>721</v>
      </c>
      <c r="F195" s="388" t="s">
        <v>722</v>
      </c>
    </row>
    <row r="196" spans="2:8" ht="18" hidden="1" customHeight="1" thickBot="1">
      <c r="B196" s="389" t="s">
        <v>723</v>
      </c>
      <c r="C196" s="388" t="s">
        <v>636</v>
      </c>
      <c r="D196" s="390">
        <f>さいたま市外壁断熱!E63*H196</f>
        <v>0</v>
      </c>
      <c r="E196" s="390">
        <f>熊谷市外壁断熱!E63*H196</f>
        <v>0</v>
      </c>
      <c r="F196" s="390">
        <f>秩父市外壁断熱!E63*H196</f>
        <v>0</v>
      </c>
      <c r="H196" s="986" t="str">
        <f>IF(P43=TRUE,"1","0")</f>
        <v>0</v>
      </c>
    </row>
    <row r="197" spans="2:8" ht="18" hidden="1" customHeight="1">
      <c r="B197" s="389" t="s">
        <v>724</v>
      </c>
      <c r="C197" s="388" t="s">
        <v>725</v>
      </c>
      <c r="D197" s="559">
        <f>さいたま市外壁断熱!E64*H196</f>
        <v>0</v>
      </c>
      <c r="E197" s="559">
        <f>熊谷市外壁断熱!E64*H196</f>
        <v>0</v>
      </c>
      <c r="F197" s="559">
        <f>秩父市外壁断熱!E64*H196</f>
        <v>0</v>
      </c>
    </row>
    <row r="198" spans="2:8" ht="18" hidden="1" customHeight="1">
      <c r="B198" s="389" t="s">
        <v>726</v>
      </c>
      <c r="C198" s="388" t="s">
        <v>246</v>
      </c>
      <c r="D198" s="391" t="e">
        <f>(1-D200/D199)*100*H196</f>
        <v>#DIV/0!</v>
      </c>
      <c r="E198" s="391" t="e">
        <f>(1-E200/E199)*100*H196</f>
        <v>#DIV/0!</v>
      </c>
      <c r="F198" s="391" t="e">
        <f>(1-F200/F199)*100*H196</f>
        <v>#DIV/0!</v>
      </c>
    </row>
    <row r="199" spans="2:8" ht="18" hidden="1" customHeight="1">
      <c r="B199" s="389" t="s">
        <v>727</v>
      </c>
      <c r="C199" s="388" t="s">
        <v>725</v>
      </c>
      <c r="D199" s="391">
        <f>さいたま市外壁断熱!T64*H196</f>
        <v>0</v>
      </c>
      <c r="E199" s="391">
        <f>熊谷市外壁断熱!T64*H196</f>
        <v>0</v>
      </c>
      <c r="F199" s="391">
        <f>秩父市外壁断熱!T64*H196</f>
        <v>0</v>
      </c>
    </row>
    <row r="200" spans="2:8" ht="18" hidden="1" customHeight="1">
      <c r="B200" s="389" t="s">
        <v>728</v>
      </c>
      <c r="C200" s="388" t="s">
        <v>725</v>
      </c>
      <c r="D200" s="391">
        <f>さいたま市外壁断熱!AB64*H196</f>
        <v>0</v>
      </c>
      <c r="E200" s="391">
        <f>熊谷市外壁断熱!AB64*H196</f>
        <v>0</v>
      </c>
      <c r="F200" s="391">
        <f>秩父市外壁断熱!AB64*H196</f>
        <v>0</v>
      </c>
    </row>
    <row r="201" spans="2:8" ht="18" hidden="1" customHeight="1">
      <c r="B201" s="389" t="s">
        <v>729</v>
      </c>
      <c r="C201" s="388" t="s">
        <v>636</v>
      </c>
      <c r="D201" s="991">
        <f>さいたま市外壁断熱!T63*H196</f>
        <v>0</v>
      </c>
      <c r="E201" s="991">
        <f>熊谷市外壁断熱!T63*H196</f>
        <v>0</v>
      </c>
      <c r="F201" s="991">
        <f>秩父市外壁断熱!T63*H196</f>
        <v>0</v>
      </c>
    </row>
    <row r="202" spans="2:8" ht="18" hidden="1" customHeight="1">
      <c r="B202" s="389" t="s">
        <v>730</v>
      </c>
      <c r="C202" s="389" t="s">
        <v>636</v>
      </c>
      <c r="D202" s="558">
        <f>さいたま市外壁断熱!AB63*H196</f>
        <v>0</v>
      </c>
      <c r="E202" s="558">
        <f>熊谷市外壁断熱!AB63*H196</f>
        <v>0</v>
      </c>
      <c r="F202" s="558">
        <f>秩父市外壁断熱!AB63*H196</f>
        <v>0</v>
      </c>
    </row>
    <row r="203" spans="2:8" ht="18" hidden="1" customHeight="1">
      <c r="B203" s="334"/>
      <c r="C203" s="334"/>
      <c r="D203" s="561"/>
      <c r="E203" s="561"/>
      <c r="F203" s="561"/>
    </row>
    <row r="204" spans="2:8" ht="18" hidden="1" customHeight="1">
      <c r="B204" s="388" t="s">
        <v>875</v>
      </c>
      <c r="C204" s="322" t="s">
        <v>1384</v>
      </c>
    </row>
    <row r="205" spans="2:8" ht="18" hidden="1" customHeight="1" thickBot="1">
      <c r="B205" s="388" t="s">
        <v>718</v>
      </c>
      <c r="C205" s="388" t="s">
        <v>719</v>
      </c>
      <c r="D205" s="388" t="s">
        <v>720</v>
      </c>
      <c r="E205" s="388" t="s">
        <v>721</v>
      </c>
      <c r="F205" s="388" t="s">
        <v>722</v>
      </c>
    </row>
    <row r="206" spans="2:8" ht="18" hidden="1" customHeight="1" thickBot="1">
      <c r="B206" s="389" t="s">
        <v>723</v>
      </c>
      <c r="C206" s="388" t="s">
        <v>636</v>
      </c>
      <c r="D206" s="390">
        <f>さいたま市窓遮熱!E63*H206</f>
        <v>0</v>
      </c>
      <c r="E206" s="390">
        <f>熊谷市窓遮熱!E63*H206</f>
        <v>0</v>
      </c>
      <c r="F206" s="390">
        <f>秩父市窓遮熱!E63*H206</f>
        <v>0</v>
      </c>
      <c r="H206" s="986" t="str">
        <f>IF(P46=TRUE,"1","0")</f>
        <v>0</v>
      </c>
    </row>
    <row r="207" spans="2:8" ht="18" hidden="1" customHeight="1">
      <c r="B207" s="389" t="s">
        <v>724</v>
      </c>
      <c r="C207" s="388" t="s">
        <v>725</v>
      </c>
      <c r="D207" s="996">
        <f>さいたま市窓遮熱!E64*H206</f>
        <v>0</v>
      </c>
      <c r="E207" s="996">
        <f>熊谷市窓遮熱!E64*H206</f>
        <v>0</v>
      </c>
      <c r="F207" s="996">
        <f>秩父市窓遮熱!E64*H206</f>
        <v>0</v>
      </c>
    </row>
    <row r="208" spans="2:8" ht="18" hidden="1" customHeight="1">
      <c r="B208" s="389" t="s">
        <v>726</v>
      </c>
      <c r="C208" s="388" t="s">
        <v>246</v>
      </c>
      <c r="D208" s="391" t="e">
        <f>(1-D210/D209)*100*H206</f>
        <v>#DIV/0!</v>
      </c>
      <c r="E208" s="391" t="e">
        <f>(1-E210/E209)*100*H206</f>
        <v>#DIV/0!</v>
      </c>
      <c r="F208" s="391" t="e">
        <f>(1-F210/F209)*100*H206</f>
        <v>#DIV/0!</v>
      </c>
    </row>
    <row r="209" spans="2:8" ht="18" hidden="1" customHeight="1">
      <c r="B209" s="389" t="s">
        <v>727</v>
      </c>
      <c r="C209" s="388" t="s">
        <v>725</v>
      </c>
      <c r="D209" s="391">
        <f>さいたま市窓遮熱!T64*H206</f>
        <v>0</v>
      </c>
      <c r="E209" s="391">
        <f>熊谷市窓遮熱!T64*H206</f>
        <v>0</v>
      </c>
      <c r="F209" s="391">
        <f>秩父市窓遮熱!T64*H206</f>
        <v>0</v>
      </c>
    </row>
    <row r="210" spans="2:8" ht="18" hidden="1" customHeight="1">
      <c r="B210" s="389" t="s">
        <v>728</v>
      </c>
      <c r="C210" s="388" t="s">
        <v>725</v>
      </c>
      <c r="D210" s="391">
        <f>さいたま市窓遮熱!AB64*H206</f>
        <v>0</v>
      </c>
      <c r="E210" s="391">
        <f>熊谷市窓遮熱!AB64*H206</f>
        <v>0</v>
      </c>
      <c r="F210" s="391">
        <f>秩父市窓遮熱!AB64*H206</f>
        <v>0</v>
      </c>
    </row>
    <row r="211" spans="2:8" ht="18" hidden="1" customHeight="1">
      <c r="B211" s="389" t="s">
        <v>729</v>
      </c>
      <c r="C211" s="388" t="s">
        <v>636</v>
      </c>
      <c r="D211" s="991">
        <f>さいたま市窓遮熱!T63*H206</f>
        <v>0</v>
      </c>
      <c r="E211" s="991">
        <f>熊谷市窓遮熱!T63*H206</f>
        <v>0</v>
      </c>
      <c r="F211" s="991">
        <f>秩父市窓遮熱!T63*H206</f>
        <v>0</v>
      </c>
    </row>
    <row r="212" spans="2:8" ht="18" hidden="1" customHeight="1">
      <c r="B212" s="389" t="s">
        <v>730</v>
      </c>
      <c r="C212" s="389" t="s">
        <v>636</v>
      </c>
      <c r="D212" s="558">
        <f>さいたま市窓遮熱!AB63*H206</f>
        <v>0</v>
      </c>
      <c r="E212" s="558">
        <f>熊谷市窓遮熱!AB63*H206</f>
        <v>0</v>
      </c>
      <c r="F212" s="558">
        <f>秩父市窓遮熱!AB63*H206</f>
        <v>0</v>
      </c>
    </row>
    <row r="213" spans="2:8" ht="18" hidden="1" customHeight="1"/>
    <row r="214" spans="2:8" hidden="1">
      <c r="B214" s="388" t="s">
        <v>874</v>
      </c>
      <c r="C214" s="322" t="s">
        <v>1383</v>
      </c>
    </row>
    <row r="215" spans="2:8" ht="14.5" hidden="1" thickBot="1">
      <c r="B215" s="388" t="s">
        <v>718</v>
      </c>
      <c r="C215" s="388" t="s">
        <v>719</v>
      </c>
      <c r="D215" s="388" t="s">
        <v>720</v>
      </c>
      <c r="E215" s="388" t="s">
        <v>721</v>
      </c>
      <c r="F215" s="388" t="s">
        <v>722</v>
      </c>
    </row>
    <row r="216" spans="2:8" ht="14.5" hidden="1" thickBot="1">
      <c r="B216" s="389" t="s">
        <v>723</v>
      </c>
      <c r="C216" s="388" t="s">
        <v>636</v>
      </c>
      <c r="D216" s="390">
        <f>さいたま市窓断熱!E63*H216</f>
        <v>0</v>
      </c>
      <c r="E216" s="390">
        <f>熊谷市窓断熱!E63*H216</f>
        <v>0</v>
      </c>
      <c r="F216" s="390">
        <f>秩父市窓断熱!E63*H216</f>
        <v>0</v>
      </c>
      <c r="H216" s="986" t="str">
        <f>IF(P45=TRUE,"1","0")</f>
        <v>0</v>
      </c>
    </row>
    <row r="217" spans="2:8" hidden="1">
      <c r="B217" s="389" t="s">
        <v>724</v>
      </c>
      <c r="C217" s="388" t="s">
        <v>725</v>
      </c>
      <c r="D217" s="996">
        <f>さいたま市窓断熱!E64*H216</f>
        <v>0</v>
      </c>
      <c r="E217" s="996">
        <f>熊谷市窓断熱!E64*H216</f>
        <v>0</v>
      </c>
      <c r="F217" s="996">
        <f>秩父市窓断熱!E64*H216</f>
        <v>0</v>
      </c>
    </row>
    <row r="218" spans="2:8" hidden="1">
      <c r="B218" s="389" t="s">
        <v>726</v>
      </c>
      <c r="C218" s="388" t="s">
        <v>246</v>
      </c>
      <c r="D218" s="391" t="e">
        <f>(1-D220/D219)*100*H216</f>
        <v>#DIV/0!</v>
      </c>
      <c r="E218" s="391" t="e">
        <f>(1-E220/E219)*100*H216</f>
        <v>#DIV/0!</v>
      </c>
      <c r="F218" s="391" t="e">
        <f>(1-F220/F219)*100*H216</f>
        <v>#DIV/0!</v>
      </c>
    </row>
    <row r="219" spans="2:8" hidden="1">
      <c r="B219" s="389" t="s">
        <v>727</v>
      </c>
      <c r="C219" s="388" t="s">
        <v>725</v>
      </c>
      <c r="D219" s="391">
        <f>さいたま市窓断熱!T64*H216</f>
        <v>0</v>
      </c>
      <c r="E219" s="391">
        <f>熊谷市窓断熱!T64*H216</f>
        <v>0</v>
      </c>
      <c r="F219" s="391">
        <f>秩父市窓断熱!T64*H216</f>
        <v>0</v>
      </c>
    </row>
    <row r="220" spans="2:8" hidden="1">
      <c r="B220" s="389" t="s">
        <v>728</v>
      </c>
      <c r="C220" s="388" t="s">
        <v>725</v>
      </c>
      <c r="D220" s="391">
        <f>さいたま市窓断熱!AB64*H216</f>
        <v>0</v>
      </c>
      <c r="E220" s="391">
        <f>熊谷市窓断熱!AB64*H216</f>
        <v>0</v>
      </c>
      <c r="F220" s="391">
        <f>秩父市窓断熱!AB64*H216</f>
        <v>0</v>
      </c>
    </row>
    <row r="221" spans="2:8" hidden="1">
      <c r="B221" s="389" t="s">
        <v>729</v>
      </c>
      <c r="C221" s="388" t="s">
        <v>636</v>
      </c>
      <c r="D221" s="991">
        <f>さいたま市窓断熱!T63*H216</f>
        <v>0</v>
      </c>
      <c r="E221" s="991">
        <f>熊谷市窓断熱!T63*H216</f>
        <v>0</v>
      </c>
      <c r="F221" s="991">
        <f>秩父市窓断熱!T63*H216</f>
        <v>0</v>
      </c>
    </row>
    <row r="222" spans="2:8" hidden="1">
      <c r="B222" s="389" t="s">
        <v>730</v>
      </c>
      <c r="C222" s="388" t="s">
        <v>636</v>
      </c>
      <c r="D222" s="558">
        <f>さいたま市窓断熱!AB63*H216</f>
        <v>0</v>
      </c>
      <c r="E222" s="558">
        <f>熊谷市窓断熱!AB63*H216</f>
        <v>0</v>
      </c>
      <c r="F222" s="558">
        <f>秩父市窓断熱!AB63*H216</f>
        <v>0</v>
      </c>
    </row>
    <row r="223" spans="2:8" hidden="1"/>
    <row r="224" spans="2:8" hidden="1"/>
    <row r="225" hidden="1"/>
    <row r="226" hidden="1"/>
    <row r="227" hidden="1"/>
  </sheetData>
  <mergeCells count="59">
    <mergeCell ref="G93:I93"/>
    <mergeCell ref="G109:H109"/>
    <mergeCell ref="G94:L94"/>
    <mergeCell ref="I138:K138"/>
    <mergeCell ref="I139:J139"/>
    <mergeCell ref="B135:L136"/>
    <mergeCell ref="B130:D130"/>
    <mergeCell ref="B125:D125"/>
    <mergeCell ref="B126:D126"/>
    <mergeCell ref="B127:D127"/>
    <mergeCell ref="B131:L132"/>
    <mergeCell ref="I8:K8"/>
    <mergeCell ref="C11:K11"/>
    <mergeCell ref="O88:Q88"/>
    <mergeCell ref="C18:D18"/>
    <mergeCell ref="B28:D28"/>
    <mergeCell ref="B29:D29"/>
    <mergeCell ref="B27:D27"/>
    <mergeCell ref="D10:E10"/>
    <mergeCell ref="B49:B56"/>
    <mergeCell ref="B57:B64"/>
    <mergeCell ref="B75:E75"/>
    <mergeCell ref="D78:I78"/>
    <mergeCell ref="C13:K13"/>
    <mergeCell ref="D85:I85"/>
    <mergeCell ref="B70:I70"/>
    <mergeCell ref="G76:I76"/>
    <mergeCell ref="A1:L1"/>
    <mergeCell ref="B154:F154"/>
    <mergeCell ref="O106:Q106"/>
    <mergeCell ref="B124:G124"/>
    <mergeCell ref="O138:R138"/>
    <mergeCell ref="D140:F140"/>
    <mergeCell ref="D141:F141"/>
    <mergeCell ref="D142:F142"/>
    <mergeCell ref="D143:F143"/>
    <mergeCell ref="D145:F145"/>
    <mergeCell ref="D146:F146"/>
    <mergeCell ref="D147:F147"/>
    <mergeCell ref="D144:F144"/>
    <mergeCell ref="C9:K9"/>
    <mergeCell ref="B93:B100"/>
    <mergeCell ref="B89:E89"/>
    <mergeCell ref="O92:O99"/>
    <mergeCell ref="B46:E46"/>
    <mergeCell ref="B107:G107"/>
    <mergeCell ref="B140:B147"/>
    <mergeCell ref="B109:B116"/>
    <mergeCell ref="G110:L110"/>
    <mergeCell ref="H130:L130"/>
    <mergeCell ref="B129:D129"/>
    <mergeCell ref="O108:O115"/>
    <mergeCell ref="B128:D128"/>
    <mergeCell ref="O140:O149"/>
    <mergeCell ref="D139:F139"/>
    <mergeCell ref="B88:L88"/>
    <mergeCell ref="B122:K123"/>
    <mergeCell ref="E125:F125"/>
    <mergeCell ref="G83:H83"/>
  </mergeCells>
  <phoneticPr fontId="2"/>
  <conditionalFormatting sqref="D76">
    <cfRule type="cellIs" dxfId="17" priority="20" operator="equal">
      <formula>3.91</formula>
    </cfRule>
  </conditionalFormatting>
  <conditionalFormatting sqref="H72:H73">
    <cfRule type="expression" dxfId="16" priority="19">
      <formula>$D$76="3.94"</formula>
    </cfRule>
  </conditionalFormatting>
  <conditionalFormatting sqref="D83">
    <cfRule type="cellIs" dxfId="15" priority="16" operator="equal">
      <formula>0.7</formula>
    </cfRule>
  </conditionalFormatting>
  <conditionalFormatting sqref="D93:D100">
    <cfRule type="cellIs" dxfId="14" priority="6" operator="equal">
      <formula>1.18</formula>
    </cfRule>
    <cfRule type="expression" dxfId="13" priority="7">
      <formula>$P$43=TRUE</formula>
    </cfRule>
  </conditionalFormatting>
  <conditionalFormatting sqref="D109:D116">
    <cfRule type="cellIs" dxfId="12" priority="5" operator="equal">
      <formula>0.7</formula>
    </cfRule>
    <cfRule type="expression" dxfId="11" priority="14">
      <formula>$P$44=TRUE</formula>
    </cfRule>
  </conditionalFormatting>
  <conditionalFormatting sqref="D140:F147">
    <cfRule type="cellIs" dxfId="10" priority="13" operator="equal">
      <formula>"デフォルト値"</formula>
    </cfRule>
  </conditionalFormatting>
  <conditionalFormatting sqref="D49:D56">
    <cfRule type="expression" dxfId="9" priority="10">
      <formula>$P$44=TRUE</formula>
    </cfRule>
    <cfRule type="expression" dxfId="8" priority="11">
      <formula>$P$43=TRUE</formula>
    </cfRule>
  </conditionalFormatting>
  <conditionalFormatting sqref="D57:D64">
    <cfRule type="expression" dxfId="7" priority="8">
      <formula>$P$46=TRUE</formula>
    </cfRule>
    <cfRule type="expression" dxfId="6" priority="9">
      <formula>$P$45=TRUE</formula>
    </cfRule>
  </conditionalFormatting>
  <conditionalFormatting sqref="D48">
    <cfRule type="expression" dxfId="5" priority="1">
      <formula>$P$42=TRUE</formula>
    </cfRule>
    <cfRule type="expression" dxfId="4" priority="3">
      <formula>$P$41=TRUE</formula>
    </cfRule>
  </conditionalFormatting>
  <conditionalFormatting sqref="G35">
    <cfRule type="expression" dxfId="3" priority="2">
      <formula>$P$40=TRUE</formula>
    </cfRule>
  </conditionalFormatting>
  <dataValidations xWindow="304" yWindow="429" count="3">
    <dataValidation type="list" allowBlank="1" showInputMessage="1" showErrorMessage="1" sqref="D140:F147" xr:uid="{00000000-0002-0000-0400-000000000000}">
      <formula1>$B$126:$B$130</formula1>
    </dataValidation>
    <dataValidation type="whole" allowBlank="1" showInputMessage="1" showErrorMessage="1" sqref="E27" xr:uid="{7DA1B0B6-1C7E-4B27-A4A2-96058AA012BF}">
      <formula1>1</formula1>
      <formula2>30</formula2>
    </dataValidation>
    <dataValidation type="whole" allowBlank="1" showInputMessage="1" showErrorMessage="1" sqref="E28" xr:uid="{0A78C856-13C4-4DBB-885A-5B9CC4FA3231}">
      <formula1>1</formula1>
      <formula2>24</formula2>
    </dataValidation>
  </dataValidations>
  <pageMargins left="0.59055118110236227" right="0.39370078740157483" top="0.78740157480314965" bottom="0.39370078740157483" header="0" footer="0"/>
  <pageSetup paperSize="9" scale="89" orientation="portrait" r:id="rId1"/>
  <headerFooter>
    <oddHeader>&amp;L暑さ対策計算シート&amp;R埼玉県温暖化対策課</oddHeader>
  </headerFooter>
  <rowBreaks count="2" manualBreakCount="2">
    <brk id="67" max="11" man="1"/>
    <brk id="120" max="11" man="1"/>
  </rowBreaks>
  <colBreaks count="1" manualBreakCount="1">
    <brk id="12" max="133" man="1"/>
  </colBreaks>
  <ignoredErrors>
    <ignoredError sqref="D158:F158" formula="1"/>
    <ignoredError sqref="D178:E178"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2060" r:id="rId4" name="Check Box 12">
              <controlPr locked="0" defaultSize="0" autoFill="0" autoLine="0" autoPict="0">
                <anchor moveWithCells="1">
                  <from>
                    <xdr:col>2</xdr:col>
                    <xdr:colOff>393700</xdr:colOff>
                    <xdr:row>33</xdr:row>
                    <xdr:rowOff>38100</xdr:rowOff>
                  </from>
                  <to>
                    <xdr:col>4</xdr:col>
                    <xdr:colOff>298450</xdr:colOff>
                    <xdr:row>34</xdr:row>
                    <xdr:rowOff>107950</xdr:rowOff>
                  </to>
                </anchor>
              </controlPr>
            </control>
          </mc:Choice>
        </mc:AlternateContent>
        <mc:AlternateContent xmlns:mc="http://schemas.openxmlformats.org/markup-compatibility/2006">
          <mc:Choice Requires="x14">
            <control shapeId="2070" r:id="rId5" name="Check Box 22">
              <controlPr locked="0" defaultSize="0" autoFill="0" autoLine="0" autoPict="0">
                <anchor moveWithCells="1">
                  <from>
                    <xdr:col>2</xdr:col>
                    <xdr:colOff>393700</xdr:colOff>
                    <xdr:row>34</xdr:row>
                    <xdr:rowOff>50800</xdr:rowOff>
                  </from>
                  <to>
                    <xdr:col>4</xdr:col>
                    <xdr:colOff>317500</xdr:colOff>
                    <xdr:row>35</xdr:row>
                    <xdr:rowOff>114300</xdr:rowOff>
                  </to>
                </anchor>
              </controlPr>
            </control>
          </mc:Choice>
        </mc:AlternateContent>
        <mc:AlternateContent xmlns:mc="http://schemas.openxmlformats.org/markup-compatibility/2006">
          <mc:Choice Requires="x14">
            <control shapeId="2071" r:id="rId6" name="Check Box 23">
              <controlPr locked="0" defaultSize="0" autoFill="0" autoLine="0" autoPict="0">
                <anchor moveWithCells="1">
                  <from>
                    <xdr:col>4</xdr:col>
                    <xdr:colOff>514350</xdr:colOff>
                    <xdr:row>33</xdr:row>
                    <xdr:rowOff>50800</xdr:rowOff>
                  </from>
                  <to>
                    <xdr:col>6</xdr:col>
                    <xdr:colOff>508000</xdr:colOff>
                    <xdr:row>34</xdr:row>
                    <xdr:rowOff>107950</xdr:rowOff>
                  </to>
                </anchor>
              </controlPr>
            </control>
          </mc:Choice>
        </mc:AlternateContent>
        <mc:AlternateContent xmlns:mc="http://schemas.openxmlformats.org/markup-compatibility/2006">
          <mc:Choice Requires="x14">
            <control shapeId="2072" r:id="rId7" name="Check Box 24">
              <controlPr locked="0" defaultSize="0" autoFill="0" autoLine="0" autoPict="0">
                <anchor moveWithCells="1">
                  <from>
                    <xdr:col>4</xdr:col>
                    <xdr:colOff>514350</xdr:colOff>
                    <xdr:row>34</xdr:row>
                    <xdr:rowOff>50800</xdr:rowOff>
                  </from>
                  <to>
                    <xdr:col>6</xdr:col>
                    <xdr:colOff>565150</xdr:colOff>
                    <xdr:row>35</xdr:row>
                    <xdr:rowOff>114300</xdr:rowOff>
                  </to>
                </anchor>
              </controlPr>
            </control>
          </mc:Choice>
        </mc:AlternateContent>
        <mc:AlternateContent xmlns:mc="http://schemas.openxmlformats.org/markup-compatibility/2006">
          <mc:Choice Requires="x14">
            <control shapeId="2076" r:id="rId8" name="Check Box 28">
              <controlPr locked="0" defaultSize="0" autoFill="0" autoLine="0" autoPict="0">
                <anchor moveWithCells="1">
                  <from>
                    <xdr:col>1</xdr:col>
                    <xdr:colOff>165100</xdr:colOff>
                    <xdr:row>34</xdr:row>
                    <xdr:rowOff>50800</xdr:rowOff>
                  </from>
                  <to>
                    <xdr:col>2</xdr:col>
                    <xdr:colOff>203200</xdr:colOff>
                    <xdr:row>35</xdr:row>
                    <xdr:rowOff>114300</xdr:rowOff>
                  </to>
                </anchor>
              </controlPr>
            </control>
          </mc:Choice>
        </mc:AlternateContent>
        <mc:AlternateContent xmlns:mc="http://schemas.openxmlformats.org/markup-compatibility/2006">
          <mc:Choice Requires="x14">
            <control shapeId="2077" r:id="rId9" name="Check Box 29">
              <controlPr locked="0" defaultSize="0" autoFill="0" autoLine="0" autoPict="0">
                <anchor moveWithCells="1">
                  <from>
                    <xdr:col>1</xdr:col>
                    <xdr:colOff>165100</xdr:colOff>
                    <xdr:row>33</xdr:row>
                    <xdr:rowOff>38100</xdr:rowOff>
                  </from>
                  <to>
                    <xdr:col>2</xdr:col>
                    <xdr:colOff>203200</xdr:colOff>
                    <xdr:row>34</xdr:row>
                    <xdr:rowOff>107950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304" yWindow="429" count="1">
        <x14:dataValidation type="list" allowBlank="1" showInputMessage="1" showErrorMessage="1" error="この欄はプルダウンから選択します。" prompt="市町村名をプルダウンから選択する" xr:uid="{00000000-0002-0000-0400-000001000000}">
          <x14:formula1>
            <xm:f>区域!$B$3:$B$65</xm:f>
          </x14:formula1>
          <xm:sqref>D10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70C0"/>
  </sheetPr>
  <dimension ref="A1:AB169"/>
  <sheetViews>
    <sheetView showZeros="0" view="pageBreakPreview" zoomScale="85" zoomScaleNormal="100" zoomScaleSheetLayoutView="85" workbookViewId="0">
      <selection activeCell="F116" sqref="F116"/>
    </sheetView>
  </sheetViews>
  <sheetFormatPr defaultColWidth="9" defaultRowHeight="14"/>
  <cols>
    <col min="1" max="1" width="1" style="404" customWidth="1"/>
    <col min="2" max="2" width="2.90625" style="404" customWidth="1"/>
    <col min="3" max="3" width="5.6328125" style="404" customWidth="1"/>
    <col min="4" max="4" width="6.08984375" style="404" customWidth="1"/>
    <col min="5" max="5" width="7.36328125" style="404" customWidth="1"/>
    <col min="6" max="6" width="9" style="404"/>
    <col min="7" max="7" width="10.36328125" style="404" customWidth="1"/>
    <col min="8" max="8" width="9.6328125" style="404" customWidth="1"/>
    <col min="9" max="9" width="10.453125" style="404" customWidth="1"/>
    <col min="10" max="10" width="9.26953125" style="404" bestFit="1" customWidth="1"/>
    <col min="11" max="11" width="10.453125" style="404" customWidth="1"/>
    <col min="12" max="12" width="9.26953125" style="404" bestFit="1" customWidth="1"/>
    <col min="13" max="13" width="7.08984375" style="404" customWidth="1"/>
    <col min="14" max="14" width="7.08984375" style="404" hidden="1" customWidth="1"/>
    <col min="15" max="16" width="4.7265625" style="404" hidden="1" customWidth="1"/>
    <col min="17" max="18" width="9" style="404" customWidth="1"/>
    <col min="19" max="28" width="9" style="404" hidden="1" customWidth="1"/>
    <col min="29" max="34" width="9" style="404" customWidth="1"/>
    <col min="35" max="16384" width="9" style="404"/>
  </cols>
  <sheetData>
    <row r="1" spans="2:24" s="548" customFormat="1" ht="3" customHeight="1">
      <c r="M1" s="548" t="s">
        <v>796</v>
      </c>
      <c r="N1" s="548" t="s">
        <v>797</v>
      </c>
    </row>
    <row r="2" spans="2:24" ht="27" customHeight="1" thickBot="1">
      <c r="B2" s="1739" t="s">
        <v>744</v>
      </c>
      <c r="C2" s="1739"/>
      <c r="D2" s="1739"/>
      <c r="E2" s="1739"/>
    </row>
    <row r="3" spans="2:24" ht="6" hidden="1" customHeight="1" thickBot="1">
      <c r="B3" s="405"/>
      <c r="C3" s="405"/>
      <c r="D3" s="405"/>
      <c r="E3" s="406"/>
    </row>
    <row r="4" spans="2:24" ht="15.75" customHeight="1" thickBot="1">
      <c r="B4" s="407"/>
      <c r="C4" s="407"/>
      <c r="D4" s="407"/>
      <c r="E4" s="407"/>
      <c r="F4" s="407"/>
      <c r="G4" s="407"/>
      <c r="H4" s="407"/>
      <c r="I4" s="407"/>
      <c r="J4" s="1060" t="s">
        <v>745</v>
      </c>
      <c r="K4" s="1859" t="str">
        <f>入力!I8</f>
        <v>令和４年　　月　　日</v>
      </c>
      <c r="L4" s="1859"/>
      <c r="M4" s="1859"/>
      <c r="N4" s="1859"/>
      <c r="O4" s="1860"/>
      <c r="P4" s="1860"/>
      <c r="Q4" s="1861"/>
    </row>
    <row r="5" spans="2:24" s="408" customFormat="1" ht="16.149999999999999" customHeight="1">
      <c r="B5" s="1875" t="s">
        <v>746</v>
      </c>
      <c r="C5" s="1876"/>
      <c r="D5" s="1877"/>
      <c r="E5" s="1802">
        <f>入力!C9</f>
        <v>0</v>
      </c>
      <c r="F5" s="1803"/>
      <c r="G5" s="1803"/>
      <c r="H5" s="1803"/>
      <c r="I5" s="1803"/>
      <c r="J5" s="1798"/>
      <c r="K5" s="1798"/>
      <c r="L5" s="1798"/>
      <c r="M5" s="1798"/>
      <c r="N5" s="1798"/>
      <c r="O5" s="1798"/>
      <c r="P5" s="1798"/>
      <c r="Q5" s="1801"/>
    </row>
    <row r="6" spans="2:24" s="408" customFormat="1" ht="16.149999999999999" customHeight="1">
      <c r="B6" s="1872" t="s">
        <v>747</v>
      </c>
      <c r="C6" s="1873"/>
      <c r="D6" s="1874"/>
      <c r="E6" s="1797" t="str">
        <f>"埼玉県"&amp;入力!D10</f>
        <v>埼玉県狭山市</v>
      </c>
      <c r="F6" s="1798"/>
      <c r="G6" s="1799"/>
      <c r="H6" s="1764" t="str">
        <f>入力!D10</f>
        <v>狭山市</v>
      </c>
      <c r="I6" s="1800"/>
      <c r="J6" s="1797">
        <f>入力!H10</f>
        <v>0</v>
      </c>
      <c r="K6" s="1798"/>
      <c r="L6" s="1798"/>
      <c r="M6" s="1798"/>
      <c r="N6" s="1798"/>
      <c r="O6" s="1798"/>
      <c r="P6" s="1798"/>
      <c r="Q6" s="1801"/>
      <c r="X6" s="408" t="str">
        <f>VLOOKUP(入力!D10,区域!B2:C65,2,FALSE)</f>
        <v>さいたま市</v>
      </c>
    </row>
    <row r="7" spans="2:24" s="408" customFormat="1" ht="16.149999999999999" customHeight="1">
      <c r="B7" s="1787"/>
      <c r="C7" s="1788"/>
      <c r="D7" s="1788"/>
      <c r="E7" s="1789">
        <f>入力!C18</f>
        <v>0</v>
      </c>
      <c r="F7" s="1790"/>
      <c r="G7" s="413"/>
      <c r="H7" s="410" t="s">
        <v>748</v>
      </c>
      <c r="I7" s="411" t="str">
        <f>X6</f>
        <v>さいたま市</v>
      </c>
      <c r="J7" s="1035" t="s">
        <v>655</v>
      </c>
      <c r="K7" s="1878" t="str">
        <f>入力!$R$46</f>
        <v xml:space="preserve">　　      </v>
      </c>
      <c r="L7" s="1878"/>
      <c r="M7" s="1878"/>
      <c r="N7" s="1878"/>
      <c r="O7" s="1879"/>
      <c r="P7" s="1879"/>
      <c r="Q7" s="1880"/>
      <c r="X7" s="412">
        <f>MATCH(X6,区域!D3:D5,0)</f>
        <v>1</v>
      </c>
    </row>
    <row r="8" spans="2:24" s="408" customFormat="1" ht="16.149999999999999" customHeight="1" thickBot="1">
      <c r="B8" s="1840" t="s">
        <v>749</v>
      </c>
      <c r="C8" s="1841"/>
      <c r="D8" s="1842"/>
      <c r="E8" s="411">
        <f>入力!E28</f>
        <v>0</v>
      </c>
      <c r="F8" s="409" t="s">
        <v>750</v>
      </c>
      <c r="G8" s="413"/>
      <c r="H8" s="414">
        <f>入力!E27</f>
        <v>0</v>
      </c>
      <c r="I8" s="413" t="s">
        <v>751</v>
      </c>
      <c r="J8" s="413"/>
      <c r="K8" s="415">
        <f>入力!E29</f>
        <v>0</v>
      </c>
      <c r="L8" s="413" t="s">
        <v>648</v>
      </c>
      <c r="M8" s="413"/>
      <c r="N8" s="413"/>
      <c r="O8" s="413"/>
      <c r="P8" s="413"/>
      <c r="Q8" s="416"/>
    </row>
    <row r="9" spans="2:24">
      <c r="B9" s="417"/>
      <c r="C9" s="418"/>
      <c r="D9" s="418"/>
      <c r="E9" s="418"/>
      <c r="F9" s="418"/>
      <c r="G9" s="418"/>
      <c r="H9" s="418"/>
      <c r="I9" s="418"/>
      <c r="J9" s="419"/>
      <c r="K9" s="1021" t="s">
        <v>1393</v>
      </c>
      <c r="L9" s="1791">
        <f>HLOOKUP(X6,入力!D$155:F$160,5,FALSE)</f>
        <v>0</v>
      </c>
      <c r="M9" s="1791"/>
      <c r="N9" s="1791"/>
      <c r="O9" s="1792"/>
      <c r="P9" s="1792"/>
      <c r="Q9" s="1793"/>
    </row>
    <row r="10" spans="2:24">
      <c r="B10" s="420" t="s">
        <v>752</v>
      </c>
      <c r="C10" s="1039"/>
      <c r="D10" s="1039"/>
      <c r="E10" s="1035" t="s">
        <v>640</v>
      </c>
      <c r="F10" s="421">
        <f>入力!C23</f>
        <v>3.55</v>
      </c>
      <c r="G10" s="1035" t="s">
        <v>753</v>
      </c>
      <c r="H10" s="422">
        <f>I112</f>
        <v>0</v>
      </c>
      <c r="I10" s="423" t="s">
        <v>12</v>
      </c>
      <c r="J10" s="417"/>
      <c r="K10" s="1022" t="s">
        <v>1394</v>
      </c>
      <c r="L10" s="1794">
        <f>HLOOKUP(X6,入力!D$155:F$160,6,FALSE)</f>
        <v>0</v>
      </c>
      <c r="M10" s="1794"/>
      <c r="N10" s="1794"/>
      <c r="O10" s="1795"/>
      <c r="P10" s="1795"/>
      <c r="Q10" s="1796"/>
    </row>
    <row r="11" spans="2:24">
      <c r="B11" s="417"/>
      <c r="C11" s="1039"/>
      <c r="D11" s="1039"/>
      <c r="E11" s="1035" t="s">
        <v>641</v>
      </c>
      <c r="F11" s="421">
        <f>入力!C24</f>
        <v>3.95</v>
      </c>
      <c r="G11" s="1035" t="s">
        <v>754</v>
      </c>
      <c r="H11" s="422">
        <f>M112</f>
        <v>0</v>
      </c>
      <c r="I11" s="423" t="s">
        <v>12</v>
      </c>
      <c r="J11" s="424"/>
      <c r="K11" s="1019" t="s">
        <v>755</v>
      </c>
      <c r="L11" s="1794">
        <f>HLOOKUP(X6,入力!D$155:F$158,3,FALSE)</f>
        <v>0</v>
      </c>
      <c r="M11" s="1794"/>
      <c r="N11" s="1794"/>
      <c r="O11" s="1795"/>
      <c r="P11" s="1795"/>
      <c r="Q11" s="1796"/>
    </row>
    <row r="12" spans="2:24" ht="14.5" thickBot="1">
      <c r="B12" s="417"/>
      <c r="C12" s="1039"/>
      <c r="D12" s="1039"/>
      <c r="E12" s="1035"/>
      <c r="F12" s="1035"/>
      <c r="G12" s="1035"/>
      <c r="H12" s="1035"/>
      <c r="I12" s="423"/>
      <c r="J12" s="424"/>
      <c r="K12" s="425" t="s">
        <v>756</v>
      </c>
      <c r="L12" s="1862">
        <f>HLOOKUP(X6,入力!D155:F158,2,FALSE)</f>
        <v>0</v>
      </c>
      <c r="M12" s="1862"/>
      <c r="N12" s="1862"/>
      <c r="O12" s="1863"/>
      <c r="P12" s="1863"/>
      <c r="Q12" s="1864"/>
    </row>
    <row r="13" spans="2:24" ht="16.5" thickBot="1">
      <c r="B13" s="426" t="s">
        <v>757</v>
      </c>
      <c r="C13" s="1061"/>
      <c r="D13" s="1061"/>
      <c r="E13" s="1057">
        <f>入力!D76</f>
        <v>3.91</v>
      </c>
      <c r="F13" s="427" t="s">
        <v>1149</v>
      </c>
      <c r="G13" s="805" t="s">
        <v>1076</v>
      </c>
      <c r="H13" s="1061"/>
      <c r="I13" s="1058">
        <f>入力!$D$83</f>
        <v>0.7</v>
      </c>
      <c r="J13" s="428"/>
      <c r="K13" s="429" t="s">
        <v>758</v>
      </c>
      <c r="L13" s="1856" t="str">
        <f>IFERROR(HLOOKUP(X6,入力!D155:F158,4,FALSE),"")</f>
        <v/>
      </c>
      <c r="M13" s="1856"/>
      <c r="N13" s="1856"/>
      <c r="O13" s="1857"/>
      <c r="P13" s="1857"/>
      <c r="Q13" s="1858"/>
    </row>
    <row r="14" spans="2:24">
      <c r="B14" s="1843" t="s">
        <v>759</v>
      </c>
      <c r="C14" s="1844"/>
      <c r="D14" s="1844"/>
      <c r="E14" s="1844"/>
      <c r="F14" s="1844"/>
      <c r="G14" s="1845"/>
      <c r="H14" s="1849" t="s">
        <v>760</v>
      </c>
      <c r="I14" s="1850"/>
      <c r="J14" s="1851"/>
      <c r="K14" s="1851"/>
      <c r="L14" s="1851"/>
      <c r="M14" s="1851"/>
      <c r="N14" s="1851"/>
      <c r="O14" s="1789"/>
      <c r="P14" s="1789"/>
      <c r="Q14" s="1852"/>
    </row>
    <row r="15" spans="2:24">
      <c r="B15" s="1854" t="s">
        <v>798</v>
      </c>
      <c r="C15" s="1855"/>
      <c r="D15" s="1846" t="s">
        <v>799</v>
      </c>
      <c r="E15" s="1847"/>
      <c r="F15" s="1848"/>
      <c r="G15" s="549" t="s">
        <v>800</v>
      </c>
      <c r="H15" s="1846" t="str">
        <f>入力!D139</f>
        <v>窓対策の内容</v>
      </c>
      <c r="I15" s="1847"/>
      <c r="J15" s="1847"/>
      <c r="K15" s="1848"/>
      <c r="L15" s="1038" t="s">
        <v>801</v>
      </c>
      <c r="M15" s="1038" t="s">
        <v>802</v>
      </c>
      <c r="N15" s="1032" t="str">
        <f>入力!G139</f>
        <v>熱貫流率</v>
      </c>
      <c r="O15" s="550"/>
      <c r="P15" s="551"/>
      <c r="Q15" s="552" t="str">
        <f>入力!H139</f>
        <v>日射熱
吸収率</v>
      </c>
    </row>
    <row r="16" spans="2:24" ht="16">
      <c r="B16" s="1744" t="s">
        <v>660</v>
      </c>
      <c r="C16" s="1749"/>
      <c r="D16" s="1868">
        <f>入力!D93</f>
        <v>1.18</v>
      </c>
      <c r="E16" s="1869"/>
      <c r="F16" s="431" t="s">
        <v>1149</v>
      </c>
      <c r="G16" s="414">
        <f>入力!D109</f>
        <v>0.7</v>
      </c>
      <c r="H16" s="1837" t="str">
        <f>入力!D140</f>
        <v>デフォルト値</v>
      </c>
      <c r="I16" s="1838"/>
      <c r="J16" s="1838"/>
      <c r="K16" s="1839"/>
      <c r="L16" s="414">
        <f>入力!G140</f>
        <v>5.95</v>
      </c>
      <c r="M16" s="414">
        <f>入力!H140</f>
        <v>0.876</v>
      </c>
      <c r="N16" s="432">
        <f>入力!G140</f>
        <v>5.95</v>
      </c>
      <c r="O16" s="432"/>
      <c r="P16" s="433"/>
      <c r="Q16" s="434">
        <f>入力!H140</f>
        <v>0.876</v>
      </c>
    </row>
    <row r="17" spans="2:17" ht="16">
      <c r="B17" s="1744" t="s">
        <v>661</v>
      </c>
      <c r="C17" s="1749"/>
      <c r="D17" s="1868">
        <f>入力!D94</f>
        <v>1.18</v>
      </c>
      <c r="E17" s="1869"/>
      <c r="F17" s="431" t="s">
        <v>1149</v>
      </c>
      <c r="G17" s="414">
        <f>入力!D110</f>
        <v>0.7</v>
      </c>
      <c r="H17" s="1837" t="str">
        <f>入力!D141</f>
        <v>デフォルト値</v>
      </c>
      <c r="I17" s="1838"/>
      <c r="J17" s="1838"/>
      <c r="K17" s="1839"/>
      <c r="L17" s="414">
        <f>入力!G141</f>
        <v>5.95</v>
      </c>
      <c r="M17" s="414">
        <f>入力!H141</f>
        <v>0.876</v>
      </c>
      <c r="N17" s="432">
        <f>入力!G141</f>
        <v>5.95</v>
      </c>
      <c r="O17" s="432"/>
      <c r="P17" s="433"/>
      <c r="Q17" s="434">
        <f>入力!H141</f>
        <v>0.876</v>
      </c>
    </row>
    <row r="18" spans="2:17" ht="16">
      <c r="B18" s="1744" t="s">
        <v>662</v>
      </c>
      <c r="C18" s="1749"/>
      <c r="D18" s="1868">
        <f>入力!D95</f>
        <v>1.18</v>
      </c>
      <c r="E18" s="1869"/>
      <c r="F18" s="431" t="s">
        <v>1149</v>
      </c>
      <c r="G18" s="414">
        <f>入力!D111</f>
        <v>0.7</v>
      </c>
      <c r="H18" s="1837" t="str">
        <f>入力!D142</f>
        <v>デフォルト値</v>
      </c>
      <c r="I18" s="1838"/>
      <c r="J18" s="1838"/>
      <c r="K18" s="1839"/>
      <c r="L18" s="414">
        <f>入力!G142</f>
        <v>5.95</v>
      </c>
      <c r="M18" s="414">
        <f>入力!H142</f>
        <v>0.876</v>
      </c>
      <c r="N18" s="432">
        <f>入力!G142</f>
        <v>5.95</v>
      </c>
      <c r="O18" s="432"/>
      <c r="P18" s="433"/>
      <c r="Q18" s="434">
        <f>入力!H142</f>
        <v>0.876</v>
      </c>
    </row>
    <row r="19" spans="2:17" ht="16">
      <c r="B19" s="1744" t="s">
        <v>663</v>
      </c>
      <c r="C19" s="1749"/>
      <c r="D19" s="1868">
        <f>入力!D96</f>
        <v>1.18</v>
      </c>
      <c r="E19" s="1869"/>
      <c r="F19" s="431" t="s">
        <v>1149</v>
      </c>
      <c r="G19" s="414">
        <f>入力!D112</f>
        <v>0.7</v>
      </c>
      <c r="H19" s="1837" t="str">
        <f>入力!D143</f>
        <v>デフォルト値</v>
      </c>
      <c r="I19" s="1838"/>
      <c r="J19" s="1838"/>
      <c r="K19" s="1839"/>
      <c r="L19" s="414">
        <f>入力!G143</f>
        <v>5.95</v>
      </c>
      <c r="M19" s="414">
        <f>入力!H143</f>
        <v>0.876</v>
      </c>
      <c r="N19" s="432">
        <f>入力!G143</f>
        <v>5.95</v>
      </c>
      <c r="O19" s="432"/>
      <c r="P19" s="433"/>
      <c r="Q19" s="434">
        <f>入力!H143</f>
        <v>0.876</v>
      </c>
    </row>
    <row r="20" spans="2:17" ht="16">
      <c r="B20" s="1744" t="s">
        <v>664</v>
      </c>
      <c r="C20" s="1749"/>
      <c r="D20" s="1868">
        <f>入力!D97</f>
        <v>1.18</v>
      </c>
      <c r="E20" s="1869"/>
      <c r="F20" s="431" t="s">
        <v>1149</v>
      </c>
      <c r="G20" s="414">
        <f>入力!D113</f>
        <v>0.7</v>
      </c>
      <c r="H20" s="1837" t="str">
        <f>入力!D144</f>
        <v>デフォルト値</v>
      </c>
      <c r="I20" s="1838"/>
      <c r="J20" s="1838"/>
      <c r="K20" s="1839"/>
      <c r="L20" s="414">
        <f>入力!G144</f>
        <v>5.95</v>
      </c>
      <c r="M20" s="414">
        <f>入力!H144</f>
        <v>0.876</v>
      </c>
      <c r="N20" s="432">
        <f>入力!G144</f>
        <v>5.95</v>
      </c>
      <c r="O20" s="432"/>
      <c r="P20" s="433"/>
      <c r="Q20" s="434">
        <f>入力!H144</f>
        <v>0.876</v>
      </c>
    </row>
    <row r="21" spans="2:17" ht="16">
      <c r="B21" s="1744" t="s">
        <v>665</v>
      </c>
      <c r="C21" s="1749"/>
      <c r="D21" s="1868">
        <f>入力!D98</f>
        <v>1.18</v>
      </c>
      <c r="E21" s="1869"/>
      <c r="F21" s="431" t="s">
        <v>1149</v>
      </c>
      <c r="G21" s="414">
        <f>入力!D114</f>
        <v>0.7</v>
      </c>
      <c r="H21" s="1837" t="str">
        <f>入力!D145</f>
        <v>デフォルト値</v>
      </c>
      <c r="I21" s="1838"/>
      <c r="J21" s="1838"/>
      <c r="K21" s="1839"/>
      <c r="L21" s="414">
        <f>入力!G145</f>
        <v>5.95</v>
      </c>
      <c r="M21" s="414">
        <f>入力!H145</f>
        <v>0.876</v>
      </c>
      <c r="N21" s="432">
        <f>入力!G145</f>
        <v>5.95</v>
      </c>
      <c r="O21" s="432"/>
      <c r="P21" s="433"/>
      <c r="Q21" s="434">
        <f>入力!H145</f>
        <v>0.876</v>
      </c>
    </row>
    <row r="22" spans="2:17" ht="16">
      <c r="B22" s="1744" t="s">
        <v>666</v>
      </c>
      <c r="C22" s="1749"/>
      <c r="D22" s="1868">
        <f>入力!D99</f>
        <v>1.18</v>
      </c>
      <c r="E22" s="1869"/>
      <c r="F22" s="431" t="s">
        <v>1149</v>
      </c>
      <c r="G22" s="414">
        <f>入力!D115</f>
        <v>0.7</v>
      </c>
      <c r="H22" s="1837" t="str">
        <f>入力!D146</f>
        <v>デフォルト値</v>
      </c>
      <c r="I22" s="1838"/>
      <c r="J22" s="1838"/>
      <c r="K22" s="1839"/>
      <c r="L22" s="414">
        <f>入力!G146</f>
        <v>5.95</v>
      </c>
      <c r="M22" s="414">
        <f>入力!H146</f>
        <v>0.876</v>
      </c>
      <c r="N22" s="432">
        <f>入力!G146</f>
        <v>5.95</v>
      </c>
      <c r="O22" s="432"/>
      <c r="P22" s="433"/>
      <c r="Q22" s="434">
        <f>入力!H146</f>
        <v>0.876</v>
      </c>
    </row>
    <row r="23" spans="2:17" ht="16.5" thickBot="1">
      <c r="B23" s="1745" t="s">
        <v>667</v>
      </c>
      <c r="C23" s="1750"/>
      <c r="D23" s="1870">
        <f>入力!D100</f>
        <v>1.18</v>
      </c>
      <c r="E23" s="1871"/>
      <c r="F23" s="435" t="s">
        <v>1149</v>
      </c>
      <c r="G23" s="1059">
        <f>入力!D116</f>
        <v>0.7</v>
      </c>
      <c r="H23" s="1834" t="str">
        <f>入力!D147</f>
        <v>デフォルト値</v>
      </c>
      <c r="I23" s="1835"/>
      <c r="J23" s="1835"/>
      <c r="K23" s="1836"/>
      <c r="L23" s="1059">
        <f>入力!G147</f>
        <v>5.95</v>
      </c>
      <c r="M23" s="1059">
        <f>入力!H147</f>
        <v>0.876</v>
      </c>
      <c r="N23" s="1049">
        <f>入力!G147</f>
        <v>5.95</v>
      </c>
      <c r="O23" s="1049"/>
      <c r="P23" s="1055"/>
      <c r="Q23" s="1050">
        <f>入力!H147</f>
        <v>0.876</v>
      </c>
    </row>
    <row r="24" spans="2:17" ht="15" customHeight="1">
      <c r="B24" s="436"/>
      <c r="C24" s="437"/>
      <c r="D24" s="436"/>
      <c r="E24" s="438"/>
      <c r="F24" s="438"/>
      <c r="G24" s="437"/>
      <c r="H24" s="437"/>
      <c r="I24" s="437"/>
      <c r="J24" s="437"/>
      <c r="K24" s="437"/>
      <c r="L24" s="437"/>
      <c r="M24" s="437"/>
      <c r="N24" s="437"/>
      <c r="O24" s="437"/>
      <c r="P24" s="437"/>
      <c r="Q24" s="437"/>
    </row>
    <row r="25" spans="2:17" ht="18.5" thickBot="1">
      <c r="B25" s="1853" t="s">
        <v>762</v>
      </c>
      <c r="C25" s="1853"/>
      <c r="D25" s="1853"/>
      <c r="E25" s="1853"/>
      <c r="F25" s="1853"/>
      <c r="G25" s="1853"/>
      <c r="H25" s="1853"/>
      <c r="I25" s="1853"/>
      <c r="J25" s="1853"/>
      <c r="K25" s="1853"/>
      <c r="L25" s="1853"/>
      <c r="M25" s="1853"/>
      <c r="N25" s="1853"/>
      <c r="O25" s="1853"/>
      <c r="P25" s="1853"/>
      <c r="Q25" s="1853"/>
    </row>
    <row r="26" spans="2:17">
      <c r="B26" s="1743" t="s">
        <v>763</v>
      </c>
      <c r="C26" s="1748"/>
      <c r="D26" s="1748" t="s">
        <v>764</v>
      </c>
      <c r="E26" s="1748"/>
      <c r="F26" s="1759"/>
      <c r="G26" s="1760" t="s">
        <v>765</v>
      </c>
      <c r="H26" s="1761"/>
      <c r="I26" s="1761"/>
      <c r="J26" s="1761"/>
      <c r="K26" s="1761"/>
      <c r="L26" s="1762"/>
      <c r="M26" s="1743" t="s">
        <v>766</v>
      </c>
      <c r="N26" s="1763"/>
      <c r="O26" s="1763"/>
      <c r="P26" s="1763"/>
      <c r="Q26" s="1751"/>
    </row>
    <row r="27" spans="2:17">
      <c r="B27" s="1744"/>
      <c r="C27" s="1749"/>
      <c r="D27" s="1749" t="s">
        <v>656</v>
      </c>
      <c r="E27" s="2142" t="s">
        <v>1077</v>
      </c>
      <c r="F27" s="1764" t="s">
        <v>761</v>
      </c>
      <c r="G27" s="1765" t="s">
        <v>767</v>
      </c>
      <c r="H27" s="1754"/>
      <c r="I27" s="1764" t="s">
        <v>768</v>
      </c>
      <c r="J27" s="1754"/>
      <c r="K27" s="1764" t="s">
        <v>769</v>
      </c>
      <c r="L27" s="1766"/>
      <c r="M27" s="1744" t="s">
        <v>770</v>
      </c>
      <c r="N27" s="1767" t="s">
        <v>771</v>
      </c>
      <c r="O27" s="1737" t="s">
        <v>772</v>
      </c>
      <c r="P27" s="1740" t="s">
        <v>773</v>
      </c>
      <c r="Q27" s="1742" t="s">
        <v>766</v>
      </c>
    </row>
    <row r="28" spans="2:17">
      <c r="B28" s="1744"/>
      <c r="C28" s="1749"/>
      <c r="D28" s="1749"/>
      <c r="E28" s="2143"/>
      <c r="F28" s="1764"/>
      <c r="G28" s="439" t="s">
        <v>774</v>
      </c>
      <c r="H28" s="440" t="s">
        <v>765</v>
      </c>
      <c r="I28" s="440" t="s">
        <v>774</v>
      </c>
      <c r="J28" s="440" t="s">
        <v>765</v>
      </c>
      <c r="K28" s="440" t="s">
        <v>774</v>
      </c>
      <c r="L28" s="441" t="s">
        <v>765</v>
      </c>
      <c r="M28" s="1744"/>
      <c r="N28" s="1736"/>
      <c r="O28" s="1738"/>
      <c r="P28" s="1740"/>
      <c r="Q28" s="1742"/>
    </row>
    <row r="29" spans="2:17" ht="17" thickBot="1">
      <c r="B29" s="1745"/>
      <c r="C29" s="1750"/>
      <c r="D29" s="1750"/>
      <c r="E29" s="911" t="s">
        <v>1150</v>
      </c>
      <c r="F29" s="442" t="s">
        <v>1145</v>
      </c>
      <c r="G29" s="1033" t="s">
        <v>738</v>
      </c>
      <c r="H29" s="1034" t="s">
        <v>58</v>
      </c>
      <c r="I29" s="1034" t="s">
        <v>738</v>
      </c>
      <c r="J29" s="1034" t="s">
        <v>58</v>
      </c>
      <c r="K29" s="1034" t="s">
        <v>738</v>
      </c>
      <c r="L29" s="443" t="s">
        <v>59</v>
      </c>
      <c r="M29" s="1033" t="s">
        <v>775</v>
      </c>
      <c r="N29" s="444" t="s">
        <v>776</v>
      </c>
      <c r="O29" s="444" t="s">
        <v>776</v>
      </c>
      <c r="P29" s="1034" t="s">
        <v>740</v>
      </c>
      <c r="Q29" s="443" t="s">
        <v>59</v>
      </c>
    </row>
    <row r="30" spans="2:17" ht="15" customHeight="1" thickBot="1">
      <c r="B30" s="1618" t="s">
        <v>777</v>
      </c>
      <c r="C30" s="445" t="s">
        <v>657</v>
      </c>
      <c r="D30" s="446" t="s">
        <v>778</v>
      </c>
      <c r="E30" s="447">
        <f>入力!N48</f>
        <v>0</v>
      </c>
      <c r="F30" s="448">
        <f>熱貫流率計算!H9</f>
        <v>3.91</v>
      </c>
      <c r="G30" s="449">
        <f>'外壁実効温度差（ETD)一覧表'!L21</f>
        <v>7.1</v>
      </c>
      <c r="H30" s="450">
        <f>G30*F30*E30</f>
        <v>0</v>
      </c>
      <c r="I30" s="451">
        <f>'外壁実効温度差（ETD)一覧表'!O21</f>
        <v>16.100000000000001</v>
      </c>
      <c r="J30" s="450">
        <f>I30*F30*E30</f>
        <v>0</v>
      </c>
      <c r="K30" s="452">
        <f>'外壁実効温度差（ETD)一覧表'!R21</f>
        <v>23.1</v>
      </c>
      <c r="L30" s="453">
        <f>K30*F30*E30</f>
        <v>0</v>
      </c>
      <c r="M30" s="454">
        <f>20--1.5</f>
        <v>21.5</v>
      </c>
      <c r="N30" s="455">
        <v>1</v>
      </c>
      <c r="O30" s="456">
        <f>'熱負荷計算シート (2)'!N7</f>
        <v>1</v>
      </c>
      <c r="P30" s="457">
        <f>'熱負荷計算シート (2)'!M7</f>
        <v>21.5</v>
      </c>
      <c r="Q30" s="458">
        <f>M30*F30*E30*N30</f>
        <v>0</v>
      </c>
    </row>
    <row r="31" spans="2:17">
      <c r="B31" s="1619"/>
      <c r="C31" s="1743" t="s">
        <v>659</v>
      </c>
      <c r="D31" s="1061" t="s">
        <v>660</v>
      </c>
      <c r="E31" s="1057">
        <f>入力!N49</f>
        <v>0</v>
      </c>
      <c r="F31" s="459">
        <f>温度条件他根拠!D71</f>
        <v>1.18</v>
      </c>
      <c r="G31" s="460">
        <f>'外壁実効温度差（ETD)一覧表'!L22</f>
        <v>3.1</v>
      </c>
      <c r="H31" s="461">
        <f t="shared" ref="H31:H47" si="0">G31*F31*E31</f>
        <v>0</v>
      </c>
      <c r="I31" s="462">
        <f>'外壁実効温度差（ETD)一覧表'!O22</f>
        <v>4.0999999999999996</v>
      </c>
      <c r="J31" s="461">
        <f>I31*F31*E31</f>
        <v>0</v>
      </c>
      <c r="K31" s="463">
        <f>'外壁実効温度差（ETD)一覧表'!R22</f>
        <v>6.1</v>
      </c>
      <c r="L31" s="464">
        <f t="shared" ref="L31:L47" si="1">K31*F31*E31</f>
        <v>0</v>
      </c>
      <c r="M31" s="1051">
        <f t="shared" ref="M31:M47" si="2">20--1.5</f>
        <v>21.5</v>
      </c>
      <c r="N31" s="1052">
        <v>1.1000000000000001</v>
      </c>
      <c r="O31" s="465">
        <f>'熱負荷計算シート (2)'!N8</f>
        <v>1.1000000000000001</v>
      </c>
      <c r="P31" s="466">
        <f>'熱負荷計算シート (2)'!M8</f>
        <v>21.5</v>
      </c>
      <c r="Q31" s="464">
        <f t="shared" ref="Q31:Q47" si="3">M31*F31*E31*N31</f>
        <v>0</v>
      </c>
    </row>
    <row r="32" spans="2:17">
      <c r="B32" s="1619"/>
      <c r="C32" s="1744"/>
      <c r="D32" s="1031" t="s">
        <v>661</v>
      </c>
      <c r="E32" s="414">
        <f>入力!N50</f>
        <v>0</v>
      </c>
      <c r="F32" s="467">
        <f>温度条件他根拠!$D$71</f>
        <v>1.18</v>
      </c>
      <c r="G32" s="468">
        <f>'外壁実効温度差（ETD)一覧表'!L23</f>
        <v>7.1</v>
      </c>
      <c r="H32" s="469">
        <f t="shared" si="0"/>
        <v>0</v>
      </c>
      <c r="I32" s="470">
        <f>'外壁実効温度差（ETD)一覧表'!O23</f>
        <v>9.1</v>
      </c>
      <c r="J32" s="469">
        <f>I32*F32*E32</f>
        <v>0</v>
      </c>
      <c r="K32" s="471">
        <f>'外壁実効温度差（ETD)一覧表'!R23</f>
        <v>9.1</v>
      </c>
      <c r="L32" s="472">
        <f t="shared" si="1"/>
        <v>0</v>
      </c>
      <c r="M32" s="473">
        <f t="shared" si="2"/>
        <v>21.5</v>
      </c>
      <c r="N32" s="433">
        <v>1.05</v>
      </c>
      <c r="O32" s="474">
        <f>'熱負荷計算シート (2)'!N9</f>
        <v>1.05</v>
      </c>
      <c r="P32" s="475">
        <f>'熱負荷計算シート (2)'!M9</f>
        <v>21.5</v>
      </c>
      <c r="Q32" s="472">
        <f t="shared" si="3"/>
        <v>0</v>
      </c>
    </row>
    <row r="33" spans="2:17">
      <c r="B33" s="1619"/>
      <c r="C33" s="1744"/>
      <c r="D33" s="1031" t="s">
        <v>662</v>
      </c>
      <c r="E33" s="414">
        <f>入力!N51</f>
        <v>0</v>
      </c>
      <c r="F33" s="467">
        <f>温度条件他根拠!$D$71</f>
        <v>1.18</v>
      </c>
      <c r="G33" s="468">
        <f>'外壁実効温度差（ETD)一覧表'!L24</f>
        <v>8.1</v>
      </c>
      <c r="H33" s="469">
        <f t="shared" si="0"/>
        <v>0</v>
      </c>
      <c r="I33" s="470">
        <f>'外壁実効温度差（ETD)一覧表'!O24</f>
        <v>12.1</v>
      </c>
      <c r="J33" s="469">
        <f t="shared" ref="J33:J47" si="4">I33*F33*E33</f>
        <v>0</v>
      </c>
      <c r="K33" s="471">
        <f>'外壁実効温度差（ETD)一覧表'!R24</f>
        <v>11.1</v>
      </c>
      <c r="L33" s="472">
        <f t="shared" si="1"/>
        <v>0</v>
      </c>
      <c r="M33" s="473">
        <f t="shared" si="2"/>
        <v>21.5</v>
      </c>
      <c r="N33" s="433">
        <v>1.05</v>
      </c>
      <c r="O33" s="474">
        <f>'熱負荷計算シート (2)'!N10</f>
        <v>1.05</v>
      </c>
      <c r="P33" s="475">
        <f>'熱負荷計算シート (2)'!M10</f>
        <v>21.5</v>
      </c>
      <c r="Q33" s="472">
        <f t="shared" si="3"/>
        <v>0</v>
      </c>
    </row>
    <row r="34" spans="2:17">
      <c r="B34" s="1619"/>
      <c r="C34" s="1744"/>
      <c r="D34" s="1031" t="s">
        <v>663</v>
      </c>
      <c r="E34" s="414">
        <f>入力!N52</f>
        <v>0</v>
      </c>
      <c r="F34" s="467">
        <f>温度条件他根拠!$D$71</f>
        <v>1.18</v>
      </c>
      <c r="G34" s="468">
        <f>'外壁実効温度差（ETD)一覧表'!L25</f>
        <v>6.1</v>
      </c>
      <c r="H34" s="469">
        <f t="shared" si="0"/>
        <v>0</v>
      </c>
      <c r="I34" s="470">
        <f>'外壁実効温度差（ETD)一覧表'!O25</f>
        <v>11.1</v>
      </c>
      <c r="J34" s="469">
        <f t="shared" si="4"/>
        <v>0</v>
      </c>
      <c r="K34" s="471">
        <f>'外壁実効温度差（ETD)一覧表'!R25</f>
        <v>11.1</v>
      </c>
      <c r="L34" s="472">
        <f t="shared" si="1"/>
        <v>0</v>
      </c>
      <c r="M34" s="473">
        <f t="shared" si="2"/>
        <v>21.5</v>
      </c>
      <c r="N34" s="433">
        <v>1.05</v>
      </c>
      <c r="O34" s="474">
        <f>'熱負荷計算シート (2)'!N11</f>
        <v>1.05</v>
      </c>
      <c r="P34" s="475">
        <f>'熱負荷計算シート (2)'!M11</f>
        <v>21.5</v>
      </c>
      <c r="Q34" s="472">
        <f t="shared" si="3"/>
        <v>0</v>
      </c>
    </row>
    <row r="35" spans="2:17">
      <c r="B35" s="1619"/>
      <c r="C35" s="1744"/>
      <c r="D35" s="1031" t="s">
        <v>664</v>
      </c>
      <c r="E35" s="414">
        <f>入力!N53</f>
        <v>0</v>
      </c>
      <c r="F35" s="467">
        <f>温度条件他根拠!$D$71</f>
        <v>1.18</v>
      </c>
      <c r="G35" s="468">
        <f>'外壁実効温度差（ETD)一覧表'!L26</f>
        <v>2.1</v>
      </c>
      <c r="H35" s="469">
        <f t="shared" si="0"/>
        <v>0</v>
      </c>
      <c r="I35" s="470">
        <f>'外壁実効温度差（ETD)一覧表'!O26</f>
        <v>5.0999999999999996</v>
      </c>
      <c r="J35" s="469">
        <f t="shared" si="4"/>
        <v>0</v>
      </c>
      <c r="K35" s="471">
        <f>'外壁実効温度差（ETD)一覧表'!R26</f>
        <v>9.1</v>
      </c>
      <c r="L35" s="472">
        <f t="shared" si="1"/>
        <v>0</v>
      </c>
      <c r="M35" s="473">
        <f t="shared" si="2"/>
        <v>21.5</v>
      </c>
      <c r="N35" s="433">
        <v>1</v>
      </c>
      <c r="O35" s="476">
        <f>'熱負荷計算シート (2)'!N12</f>
        <v>1</v>
      </c>
      <c r="P35" s="475">
        <f>'熱負荷計算シート (2)'!M12</f>
        <v>21.5</v>
      </c>
      <c r="Q35" s="472">
        <f t="shared" si="3"/>
        <v>0</v>
      </c>
    </row>
    <row r="36" spans="2:17">
      <c r="B36" s="1619"/>
      <c r="C36" s="1744"/>
      <c r="D36" s="1031" t="s">
        <v>665</v>
      </c>
      <c r="E36" s="414">
        <f>入力!N54</f>
        <v>0</v>
      </c>
      <c r="F36" s="467">
        <f>温度条件他根拠!$D$71</f>
        <v>1.18</v>
      </c>
      <c r="G36" s="468">
        <f>'外壁実効温度差（ETD)一覧表'!L27</f>
        <v>2.1</v>
      </c>
      <c r="H36" s="469">
        <f t="shared" si="0"/>
        <v>0</v>
      </c>
      <c r="I36" s="470">
        <f>'外壁実効温度差（ETD)一覧表'!O27</f>
        <v>4.0999999999999996</v>
      </c>
      <c r="J36" s="469">
        <f t="shared" si="4"/>
        <v>0</v>
      </c>
      <c r="K36" s="471">
        <f>'外壁実効温度差（ETD)一覧表'!R27</f>
        <v>9.1</v>
      </c>
      <c r="L36" s="472">
        <f t="shared" si="1"/>
        <v>0</v>
      </c>
      <c r="M36" s="473">
        <f t="shared" si="2"/>
        <v>21.5</v>
      </c>
      <c r="N36" s="433">
        <v>1.05</v>
      </c>
      <c r="O36" s="474">
        <f>'熱負荷計算シート (2)'!N13</f>
        <v>1.05</v>
      </c>
      <c r="P36" s="475">
        <f>'熱負荷計算シート (2)'!M13</f>
        <v>21.5</v>
      </c>
      <c r="Q36" s="472">
        <f t="shared" si="3"/>
        <v>0</v>
      </c>
    </row>
    <row r="37" spans="2:17">
      <c r="B37" s="1619"/>
      <c r="C37" s="1744"/>
      <c r="D37" s="1031" t="s">
        <v>666</v>
      </c>
      <c r="E37" s="414">
        <f>入力!N55</f>
        <v>0</v>
      </c>
      <c r="F37" s="467">
        <f>温度条件他根拠!$D$71</f>
        <v>1.18</v>
      </c>
      <c r="G37" s="468">
        <f>'外壁実効温度差（ETD)一覧表'!L28</f>
        <v>2.1</v>
      </c>
      <c r="H37" s="469">
        <f t="shared" si="0"/>
        <v>0</v>
      </c>
      <c r="I37" s="470">
        <f>'外壁実効温度差（ETD)一覧表'!O28</f>
        <v>4.0999999999999996</v>
      </c>
      <c r="J37" s="469">
        <f t="shared" si="4"/>
        <v>0</v>
      </c>
      <c r="K37" s="471">
        <f>'外壁実効温度差（ETD)一覧表'!R28</f>
        <v>8.1</v>
      </c>
      <c r="L37" s="472">
        <f t="shared" si="1"/>
        <v>0</v>
      </c>
      <c r="M37" s="473">
        <f t="shared" si="2"/>
        <v>21.5</v>
      </c>
      <c r="N37" s="433">
        <v>1.1000000000000001</v>
      </c>
      <c r="O37" s="474">
        <f>'熱負荷計算シート (2)'!N14</f>
        <v>1.1000000000000001</v>
      </c>
      <c r="P37" s="475">
        <f>'熱負荷計算シート (2)'!M14</f>
        <v>21.5</v>
      </c>
      <c r="Q37" s="472">
        <f t="shared" si="3"/>
        <v>0</v>
      </c>
    </row>
    <row r="38" spans="2:17" ht="14.5" thickBot="1">
      <c r="B38" s="1619"/>
      <c r="C38" s="1745"/>
      <c r="D38" s="1034" t="s">
        <v>667</v>
      </c>
      <c r="E38" s="1059">
        <f>入力!N56</f>
        <v>0</v>
      </c>
      <c r="F38" s="477">
        <f>温度条件他根拠!$D$71</f>
        <v>1.18</v>
      </c>
      <c r="G38" s="478">
        <f>'外壁実効温度差（ETD)一覧表'!L29</f>
        <v>2.1</v>
      </c>
      <c r="H38" s="479">
        <f t="shared" si="0"/>
        <v>0</v>
      </c>
      <c r="I38" s="1045">
        <f>'外壁実効温度差（ETD)一覧表'!O29</f>
        <v>4.0999999999999996</v>
      </c>
      <c r="J38" s="479">
        <f t="shared" si="4"/>
        <v>0</v>
      </c>
      <c r="K38" s="480">
        <f>'外壁実効温度差（ETD)一覧表'!R29</f>
        <v>6.1</v>
      </c>
      <c r="L38" s="481">
        <f t="shared" si="1"/>
        <v>0</v>
      </c>
      <c r="M38" s="1054">
        <f t="shared" si="2"/>
        <v>21.5</v>
      </c>
      <c r="N38" s="1055">
        <v>1.1000000000000001</v>
      </c>
      <c r="O38" s="482">
        <f>'熱負荷計算シート (2)'!N15</f>
        <v>1.1000000000000001</v>
      </c>
      <c r="P38" s="483">
        <f>'熱負荷計算シート (2)'!M15</f>
        <v>21.5</v>
      </c>
      <c r="Q38" s="484">
        <f t="shared" si="3"/>
        <v>0</v>
      </c>
    </row>
    <row r="39" spans="2:17" ht="14.5" thickBot="1">
      <c r="B39" s="1619"/>
      <c r="C39" s="1617" t="s">
        <v>868</v>
      </c>
      <c r="D39" s="1566"/>
      <c r="E39" s="1566"/>
      <c r="F39" s="1567"/>
      <c r="G39" s="695"/>
      <c r="H39" s="518">
        <f>SUBTOTAL(9,H31:H38)</f>
        <v>0</v>
      </c>
      <c r="I39" s="696"/>
      <c r="J39" s="518">
        <f>SUBTOTAL(9,J31:J38)</f>
        <v>0</v>
      </c>
      <c r="K39" s="697"/>
      <c r="L39" s="698">
        <f>SUBTOTAL(9,L31:L38)</f>
        <v>0</v>
      </c>
      <c r="M39" s="692"/>
      <c r="N39" s="541"/>
      <c r="O39" s="693"/>
      <c r="P39" s="694"/>
      <c r="Q39" s="453">
        <f>SUBTOTAL(9,Q31:Q38)</f>
        <v>0</v>
      </c>
    </row>
    <row r="40" spans="2:17">
      <c r="B40" s="1619"/>
      <c r="C40" s="1746" t="s">
        <v>668</v>
      </c>
      <c r="D40" s="1061" t="s">
        <v>660</v>
      </c>
      <c r="E40" s="1057">
        <f>入力!N57+入力!O57</f>
        <v>0</v>
      </c>
      <c r="F40" s="485">
        <f>温度条件他根拠!D72</f>
        <v>5.95</v>
      </c>
      <c r="G40" s="460">
        <f>温度条件他根拠!E7-温度条件他根拠!E9</f>
        <v>3.8999999999999986</v>
      </c>
      <c r="H40" s="461">
        <f t="shared" si="0"/>
        <v>0</v>
      </c>
      <c r="I40" s="462">
        <f>温度条件他根拠!E7-温度条件他根拠!E9</f>
        <v>3.8999999999999986</v>
      </c>
      <c r="J40" s="461">
        <f t="shared" si="4"/>
        <v>0</v>
      </c>
      <c r="K40" s="462">
        <f>温度条件他根拠!E7-温度条件他根拠!E9</f>
        <v>3.8999999999999986</v>
      </c>
      <c r="L40" s="464">
        <f t="shared" si="1"/>
        <v>0</v>
      </c>
      <c r="M40" s="1051">
        <f t="shared" si="2"/>
        <v>21.5</v>
      </c>
      <c r="N40" s="1052">
        <v>1.1000000000000001</v>
      </c>
      <c r="O40" s="465">
        <f>'熱負荷計算シート (2)'!N16</f>
        <v>1.1000000000000001</v>
      </c>
      <c r="P40" s="466">
        <f>'熱負荷計算シート (2)'!M16</f>
        <v>21.5</v>
      </c>
      <c r="Q40" s="464">
        <f t="shared" si="3"/>
        <v>0</v>
      </c>
    </row>
    <row r="41" spans="2:17">
      <c r="B41" s="1619"/>
      <c r="C41" s="1744"/>
      <c r="D41" s="1031" t="s">
        <v>661</v>
      </c>
      <c r="E41" s="414">
        <f>入力!N58+入力!O58</f>
        <v>0</v>
      </c>
      <c r="F41" s="486">
        <f>温度条件他根拠!D72</f>
        <v>5.95</v>
      </c>
      <c r="G41" s="468">
        <f>G40</f>
        <v>3.8999999999999986</v>
      </c>
      <c r="H41" s="469">
        <f t="shared" si="0"/>
        <v>0</v>
      </c>
      <c r="I41" s="470">
        <f>I40</f>
        <v>3.8999999999999986</v>
      </c>
      <c r="J41" s="469">
        <f t="shared" si="4"/>
        <v>0</v>
      </c>
      <c r="K41" s="470">
        <f>K40</f>
        <v>3.8999999999999986</v>
      </c>
      <c r="L41" s="472">
        <f t="shared" si="1"/>
        <v>0</v>
      </c>
      <c r="M41" s="473">
        <f t="shared" si="2"/>
        <v>21.5</v>
      </c>
      <c r="N41" s="433">
        <v>1.05</v>
      </c>
      <c r="O41" s="474">
        <f>'熱負荷計算シート (2)'!N17</f>
        <v>1.05</v>
      </c>
      <c r="P41" s="475">
        <f>'熱負荷計算シート (2)'!M17</f>
        <v>21.5</v>
      </c>
      <c r="Q41" s="472">
        <f t="shared" si="3"/>
        <v>0</v>
      </c>
    </row>
    <row r="42" spans="2:17">
      <c r="B42" s="1619"/>
      <c r="C42" s="1744"/>
      <c r="D42" s="1031" t="s">
        <v>662</v>
      </c>
      <c r="E42" s="414">
        <f>入力!N59+入力!O59</f>
        <v>0</v>
      </c>
      <c r="F42" s="486">
        <f>温度条件他根拠!D72</f>
        <v>5.95</v>
      </c>
      <c r="G42" s="468">
        <f t="shared" ref="G42:G46" si="5">G41</f>
        <v>3.8999999999999986</v>
      </c>
      <c r="H42" s="469">
        <f t="shared" si="0"/>
        <v>0</v>
      </c>
      <c r="I42" s="470">
        <f t="shared" ref="I42:K46" si="6">I41</f>
        <v>3.8999999999999986</v>
      </c>
      <c r="J42" s="469">
        <f t="shared" si="4"/>
        <v>0</v>
      </c>
      <c r="K42" s="470">
        <f t="shared" si="6"/>
        <v>3.8999999999999986</v>
      </c>
      <c r="L42" s="472">
        <f t="shared" si="1"/>
        <v>0</v>
      </c>
      <c r="M42" s="473">
        <f t="shared" si="2"/>
        <v>21.5</v>
      </c>
      <c r="N42" s="433">
        <v>1.05</v>
      </c>
      <c r="O42" s="474">
        <f>'熱負荷計算シート (2)'!N18</f>
        <v>1.05</v>
      </c>
      <c r="P42" s="475">
        <f>'熱負荷計算シート (2)'!M18</f>
        <v>21.5</v>
      </c>
      <c r="Q42" s="472">
        <f t="shared" si="3"/>
        <v>0</v>
      </c>
    </row>
    <row r="43" spans="2:17">
      <c r="B43" s="1619"/>
      <c r="C43" s="1744"/>
      <c r="D43" s="1031" t="s">
        <v>663</v>
      </c>
      <c r="E43" s="414">
        <f>入力!N60+入力!O60</f>
        <v>0</v>
      </c>
      <c r="F43" s="486">
        <f>温度条件他根拠!D72</f>
        <v>5.95</v>
      </c>
      <c r="G43" s="468">
        <f t="shared" si="5"/>
        <v>3.8999999999999986</v>
      </c>
      <c r="H43" s="469">
        <f t="shared" si="0"/>
        <v>0</v>
      </c>
      <c r="I43" s="470">
        <f t="shared" si="6"/>
        <v>3.8999999999999986</v>
      </c>
      <c r="J43" s="469">
        <f t="shared" si="4"/>
        <v>0</v>
      </c>
      <c r="K43" s="470">
        <f t="shared" si="6"/>
        <v>3.8999999999999986</v>
      </c>
      <c r="L43" s="472">
        <f t="shared" si="1"/>
        <v>0</v>
      </c>
      <c r="M43" s="473">
        <f t="shared" si="2"/>
        <v>21.5</v>
      </c>
      <c r="N43" s="433">
        <v>1.05</v>
      </c>
      <c r="O43" s="474">
        <f>'熱負荷計算シート (2)'!N19</f>
        <v>1.05</v>
      </c>
      <c r="P43" s="475">
        <f>'熱負荷計算シート (2)'!M19</f>
        <v>21.5</v>
      </c>
      <c r="Q43" s="472">
        <f t="shared" si="3"/>
        <v>0</v>
      </c>
    </row>
    <row r="44" spans="2:17">
      <c r="B44" s="1619"/>
      <c r="C44" s="1744"/>
      <c r="D44" s="1031" t="s">
        <v>664</v>
      </c>
      <c r="E44" s="414">
        <f>入力!N61+入力!O61</f>
        <v>0</v>
      </c>
      <c r="F44" s="486">
        <f>温度条件他根拠!D72</f>
        <v>5.95</v>
      </c>
      <c r="G44" s="468">
        <f t="shared" si="5"/>
        <v>3.8999999999999986</v>
      </c>
      <c r="H44" s="469">
        <f t="shared" si="0"/>
        <v>0</v>
      </c>
      <c r="I44" s="470">
        <f t="shared" si="6"/>
        <v>3.8999999999999986</v>
      </c>
      <c r="J44" s="469">
        <f t="shared" si="4"/>
        <v>0</v>
      </c>
      <c r="K44" s="470">
        <f t="shared" si="6"/>
        <v>3.8999999999999986</v>
      </c>
      <c r="L44" s="472">
        <f t="shared" si="1"/>
        <v>0</v>
      </c>
      <c r="M44" s="473">
        <f t="shared" si="2"/>
        <v>21.5</v>
      </c>
      <c r="N44" s="433">
        <v>1</v>
      </c>
      <c r="O44" s="476">
        <f>'熱負荷計算シート (2)'!N20</f>
        <v>1</v>
      </c>
      <c r="P44" s="475">
        <f>'熱負荷計算シート (2)'!M20</f>
        <v>21.5</v>
      </c>
      <c r="Q44" s="472">
        <f t="shared" si="3"/>
        <v>0</v>
      </c>
    </row>
    <row r="45" spans="2:17">
      <c r="B45" s="1619"/>
      <c r="C45" s="1744"/>
      <c r="D45" s="1031" t="s">
        <v>665</v>
      </c>
      <c r="E45" s="414">
        <f>入力!N62+入力!O62</f>
        <v>0</v>
      </c>
      <c r="F45" s="486">
        <f>温度条件他根拠!D72</f>
        <v>5.95</v>
      </c>
      <c r="G45" s="468">
        <f t="shared" si="5"/>
        <v>3.8999999999999986</v>
      </c>
      <c r="H45" s="469">
        <f t="shared" si="0"/>
        <v>0</v>
      </c>
      <c r="I45" s="470">
        <f t="shared" si="6"/>
        <v>3.8999999999999986</v>
      </c>
      <c r="J45" s="469">
        <f t="shared" si="4"/>
        <v>0</v>
      </c>
      <c r="K45" s="470">
        <f t="shared" si="6"/>
        <v>3.8999999999999986</v>
      </c>
      <c r="L45" s="472">
        <f t="shared" si="1"/>
        <v>0</v>
      </c>
      <c r="M45" s="473">
        <f t="shared" si="2"/>
        <v>21.5</v>
      </c>
      <c r="N45" s="433">
        <v>1.05</v>
      </c>
      <c r="O45" s="474">
        <f>'熱負荷計算シート (2)'!N21</f>
        <v>1.05</v>
      </c>
      <c r="P45" s="475">
        <f>'熱負荷計算シート (2)'!M21</f>
        <v>21.5</v>
      </c>
      <c r="Q45" s="472">
        <f t="shared" si="3"/>
        <v>0</v>
      </c>
    </row>
    <row r="46" spans="2:17">
      <c r="B46" s="1619"/>
      <c r="C46" s="1744"/>
      <c r="D46" s="1031" t="s">
        <v>666</v>
      </c>
      <c r="E46" s="414">
        <f>入力!N63+入力!O63</f>
        <v>0</v>
      </c>
      <c r="F46" s="486">
        <f>温度条件他根拠!D72</f>
        <v>5.95</v>
      </c>
      <c r="G46" s="468">
        <f t="shared" si="5"/>
        <v>3.8999999999999986</v>
      </c>
      <c r="H46" s="469">
        <f t="shared" si="0"/>
        <v>0</v>
      </c>
      <c r="I46" s="470">
        <f t="shared" si="6"/>
        <v>3.8999999999999986</v>
      </c>
      <c r="J46" s="469">
        <f t="shared" si="4"/>
        <v>0</v>
      </c>
      <c r="K46" s="470">
        <f t="shared" si="6"/>
        <v>3.8999999999999986</v>
      </c>
      <c r="L46" s="472">
        <f t="shared" si="1"/>
        <v>0</v>
      </c>
      <c r="M46" s="473">
        <f t="shared" si="2"/>
        <v>21.5</v>
      </c>
      <c r="N46" s="433">
        <v>1.1000000000000001</v>
      </c>
      <c r="O46" s="474">
        <f>'熱負荷計算シート (2)'!N22</f>
        <v>1.1000000000000001</v>
      </c>
      <c r="P46" s="475">
        <f>'熱負荷計算シート (2)'!M22</f>
        <v>21.5</v>
      </c>
      <c r="Q46" s="472">
        <f t="shared" si="3"/>
        <v>0</v>
      </c>
    </row>
    <row r="47" spans="2:17" ht="14.5" thickBot="1">
      <c r="B47" s="1619"/>
      <c r="C47" s="1747"/>
      <c r="D47" s="1036" t="s">
        <v>667</v>
      </c>
      <c r="E47" s="1059">
        <f>入力!N64+入力!O64</f>
        <v>0</v>
      </c>
      <c r="F47" s="487">
        <f>温度条件他根拠!D72</f>
        <v>5.95</v>
      </c>
      <c r="G47" s="488">
        <f>G46</f>
        <v>3.8999999999999986</v>
      </c>
      <c r="H47" s="489">
        <f t="shared" si="0"/>
        <v>0</v>
      </c>
      <c r="I47" s="490">
        <f>I46</f>
        <v>3.8999999999999986</v>
      </c>
      <c r="J47" s="489">
        <f t="shared" si="4"/>
        <v>0</v>
      </c>
      <c r="K47" s="490">
        <f>K46</f>
        <v>3.8999999999999986</v>
      </c>
      <c r="L47" s="484">
        <f t="shared" si="1"/>
        <v>0</v>
      </c>
      <c r="M47" s="1054">
        <f t="shared" si="2"/>
        <v>21.5</v>
      </c>
      <c r="N47" s="1055">
        <v>1.1000000000000001</v>
      </c>
      <c r="O47" s="482">
        <f>'熱負荷計算シート (2)'!N23</f>
        <v>1.1000000000000001</v>
      </c>
      <c r="P47" s="483">
        <f>'熱負荷計算シート (2)'!M23</f>
        <v>21.5</v>
      </c>
      <c r="Q47" s="484">
        <f t="shared" si="3"/>
        <v>0</v>
      </c>
    </row>
    <row r="48" spans="2:17" ht="14.5" thickBot="1">
      <c r="B48" s="1619"/>
      <c r="C48" s="1617" t="s">
        <v>868</v>
      </c>
      <c r="D48" s="1566"/>
      <c r="E48" s="1566"/>
      <c r="F48" s="1567"/>
      <c r="G48" s="695"/>
      <c r="H48" s="518">
        <f>SUBTOTAL(9,H40:H47)</f>
        <v>0</v>
      </c>
      <c r="I48" s="696"/>
      <c r="J48" s="518">
        <f>SUBTOTAL(9,J40:J47)</f>
        <v>0</v>
      </c>
      <c r="K48" s="697"/>
      <c r="L48" s="698">
        <f>SUBTOTAL(9,L40:L47)</f>
        <v>0</v>
      </c>
      <c r="M48" s="692"/>
      <c r="N48" s="541"/>
      <c r="O48" s="693"/>
      <c r="P48" s="694"/>
      <c r="Q48" s="453">
        <f>SUBTOTAL(9,Q40:Q47)</f>
        <v>0</v>
      </c>
    </row>
    <row r="49" spans="1:19" ht="18" customHeight="1" thickBot="1">
      <c r="B49" s="1620"/>
      <c r="C49" s="1621" t="s">
        <v>869</v>
      </c>
      <c r="D49" s="1622"/>
      <c r="E49" s="1622"/>
      <c r="F49" s="1623"/>
      <c r="G49" s="491"/>
      <c r="H49" s="492">
        <f>H30+H39+H48</f>
        <v>0</v>
      </c>
      <c r="I49" s="493"/>
      <c r="J49" s="492">
        <f>J30+J39+J48</f>
        <v>0</v>
      </c>
      <c r="K49" s="494"/>
      <c r="L49" s="495">
        <f>L30+L39+L48</f>
        <v>0</v>
      </c>
      <c r="M49" s="496"/>
      <c r="N49" s="497"/>
      <c r="O49" s="497"/>
      <c r="P49" s="497"/>
      <c r="Q49" s="458">
        <f>Q30+Q39+Q48</f>
        <v>0</v>
      </c>
    </row>
    <row r="50" spans="1:19">
      <c r="B50" s="1743" t="s">
        <v>763</v>
      </c>
      <c r="C50" s="1748"/>
      <c r="D50" s="1748" t="s">
        <v>764</v>
      </c>
      <c r="E50" s="1748"/>
      <c r="F50" s="1751"/>
      <c r="G50" s="1752" t="s">
        <v>765</v>
      </c>
      <c r="H50" s="1748"/>
      <c r="I50" s="1748"/>
      <c r="J50" s="1748"/>
      <c r="K50" s="1748"/>
      <c r="L50" s="1751"/>
      <c r="M50" s="499"/>
      <c r="N50" s="500"/>
      <c r="O50" s="500"/>
      <c r="P50" s="500"/>
      <c r="Q50" s="501"/>
    </row>
    <row r="51" spans="1:19">
      <c r="B51" s="1744"/>
      <c r="C51" s="1749"/>
      <c r="D51" s="1749" t="s">
        <v>656</v>
      </c>
      <c r="E51" s="2142" t="s">
        <v>1077</v>
      </c>
      <c r="F51" s="2144" t="s">
        <v>1078</v>
      </c>
      <c r="G51" s="1765" t="s">
        <v>767</v>
      </c>
      <c r="H51" s="1754"/>
      <c r="I51" s="1764" t="s">
        <v>768</v>
      </c>
      <c r="J51" s="1754"/>
      <c r="K51" s="1764" t="s">
        <v>769</v>
      </c>
      <c r="L51" s="1766"/>
      <c r="M51" s="502"/>
      <c r="N51" s="503"/>
      <c r="O51" s="503"/>
      <c r="P51" s="503"/>
      <c r="Q51" s="504"/>
    </row>
    <row r="52" spans="1:19">
      <c r="B52" s="1744"/>
      <c r="C52" s="1749"/>
      <c r="D52" s="1749"/>
      <c r="E52" s="2143"/>
      <c r="F52" s="2145"/>
      <c r="G52" s="505" t="s">
        <v>779</v>
      </c>
      <c r="H52" s="506" t="s">
        <v>765</v>
      </c>
      <c r="I52" s="506" t="s">
        <v>779</v>
      </c>
      <c r="J52" s="506" t="s">
        <v>765</v>
      </c>
      <c r="K52" s="506" t="s">
        <v>779</v>
      </c>
      <c r="L52" s="507" t="s">
        <v>765</v>
      </c>
      <c r="M52" s="502"/>
      <c r="N52" s="503"/>
      <c r="O52" s="503"/>
      <c r="P52" s="503"/>
      <c r="Q52" s="504"/>
    </row>
    <row r="53" spans="1:19" ht="17" thickBot="1">
      <c r="B53" s="1745"/>
      <c r="C53" s="1750"/>
      <c r="D53" s="1750"/>
      <c r="E53" s="911" t="s">
        <v>1150</v>
      </c>
      <c r="F53" s="443" t="s">
        <v>780</v>
      </c>
      <c r="G53" s="1048" t="s">
        <v>1151</v>
      </c>
      <c r="H53" s="1034" t="s">
        <v>58</v>
      </c>
      <c r="I53" s="1034" t="s">
        <v>1151</v>
      </c>
      <c r="J53" s="1034" t="s">
        <v>58</v>
      </c>
      <c r="K53" s="1034" t="s">
        <v>1151</v>
      </c>
      <c r="L53" s="443" t="s">
        <v>58</v>
      </c>
      <c r="M53" s="502"/>
      <c r="N53" s="503"/>
      <c r="O53" s="503"/>
      <c r="P53" s="503"/>
      <c r="Q53" s="504"/>
    </row>
    <row r="54" spans="1:19" ht="14.25" customHeight="1">
      <c r="B54" s="1568" t="s">
        <v>781</v>
      </c>
      <c r="C54" s="1753" t="s">
        <v>668</v>
      </c>
      <c r="D54" s="1037" t="s">
        <v>660</v>
      </c>
      <c r="E54" s="508">
        <f>入力!O57+入力!N57</f>
        <v>0</v>
      </c>
      <c r="F54" s="509">
        <f>温度条件他根拠!D73</f>
        <v>0.876</v>
      </c>
      <c r="G54" s="510">
        <f>標準日射取得量1!G6</f>
        <v>39.06</v>
      </c>
      <c r="H54" s="511">
        <f>G54*F54*E54</f>
        <v>0</v>
      </c>
      <c r="I54" s="512">
        <f>標準日射取得量1!J6</f>
        <v>39.99</v>
      </c>
      <c r="J54" s="511">
        <f>I54*F54*E54</f>
        <v>0</v>
      </c>
      <c r="K54" s="512">
        <f>標準日射取得量1!M6</f>
        <v>37.200000000000003</v>
      </c>
      <c r="L54" s="513">
        <f>K54*F54*E54</f>
        <v>0</v>
      </c>
      <c r="M54" s="502"/>
      <c r="N54" s="503"/>
      <c r="O54" s="503"/>
      <c r="P54" s="503"/>
      <c r="Q54" s="504"/>
    </row>
    <row r="55" spans="1:19">
      <c r="B55" s="1569"/>
      <c r="C55" s="1754"/>
      <c r="D55" s="1031" t="s">
        <v>661</v>
      </c>
      <c r="E55" s="414">
        <f>入力!O58+入力!N58</f>
        <v>0</v>
      </c>
      <c r="F55" s="514">
        <f>温度条件他根拠!D73</f>
        <v>0.876</v>
      </c>
      <c r="G55" s="510">
        <f>標準日射取得量1!G7</f>
        <v>227.85000000000002</v>
      </c>
      <c r="H55" s="469">
        <f t="shared" ref="H55:H61" si="7">G55*F55*E55</f>
        <v>0</v>
      </c>
      <c r="I55" s="512">
        <f>標準日射取得量1!J7</f>
        <v>39.99</v>
      </c>
      <c r="J55" s="469">
        <f t="shared" ref="J55:J61" si="8">I55*F55*E55</f>
        <v>0</v>
      </c>
      <c r="K55" s="512">
        <f>標準日射取得量1!M7</f>
        <v>37.200000000000003</v>
      </c>
      <c r="L55" s="472">
        <f t="shared" ref="L55:L61" si="9">K55*F55*E55</f>
        <v>0</v>
      </c>
      <c r="M55" s="502"/>
      <c r="N55" s="503"/>
      <c r="O55" s="503"/>
      <c r="P55" s="503"/>
      <c r="Q55" s="504"/>
    </row>
    <row r="56" spans="1:19">
      <c r="B56" s="1569"/>
      <c r="C56" s="1754"/>
      <c r="D56" s="1031" t="s">
        <v>662</v>
      </c>
      <c r="E56" s="414">
        <f>入力!O59+入力!N59</f>
        <v>0</v>
      </c>
      <c r="F56" s="514">
        <f>温度条件他根拠!D73</f>
        <v>0.876</v>
      </c>
      <c r="G56" s="510">
        <f>標準日射取得量1!G8</f>
        <v>456.63000000000005</v>
      </c>
      <c r="H56" s="469">
        <f t="shared" si="7"/>
        <v>0</v>
      </c>
      <c r="I56" s="512">
        <f>標準日射取得量1!J8</f>
        <v>39.99</v>
      </c>
      <c r="J56" s="469">
        <f t="shared" si="8"/>
        <v>0</v>
      </c>
      <c r="K56" s="512">
        <f>標準日射取得量1!M8</f>
        <v>37.200000000000003</v>
      </c>
      <c r="L56" s="472">
        <f t="shared" si="9"/>
        <v>0</v>
      </c>
      <c r="M56" s="502"/>
      <c r="N56" s="503"/>
      <c r="O56" s="503"/>
      <c r="P56" s="503"/>
      <c r="Q56" s="504"/>
    </row>
    <row r="57" spans="1:19">
      <c r="B57" s="1569"/>
      <c r="C57" s="1754"/>
      <c r="D57" s="1031" t="s">
        <v>663</v>
      </c>
      <c r="E57" s="414">
        <f>入力!O60+入力!N60</f>
        <v>0</v>
      </c>
      <c r="F57" s="514">
        <f>温度条件他根拠!D73</f>
        <v>0.876</v>
      </c>
      <c r="G57" s="510">
        <f>標準日射取得量1!G9</f>
        <v>380.37</v>
      </c>
      <c r="H57" s="469">
        <f>G57*F57*E57</f>
        <v>0</v>
      </c>
      <c r="I57" s="512">
        <f>標準日射取得量1!J9</f>
        <v>86.490000000000009</v>
      </c>
      <c r="J57" s="469">
        <f t="shared" si="8"/>
        <v>0</v>
      </c>
      <c r="K57" s="512">
        <f>標準日射取得量1!M9</f>
        <v>37.200000000000003</v>
      </c>
      <c r="L57" s="472">
        <f t="shared" si="9"/>
        <v>0</v>
      </c>
      <c r="M57" s="502"/>
      <c r="N57" s="503"/>
      <c r="O57" s="503"/>
      <c r="P57" s="503"/>
      <c r="Q57" s="504"/>
    </row>
    <row r="58" spans="1:19">
      <c r="B58" s="1569"/>
      <c r="C58" s="1754"/>
      <c r="D58" s="1031" t="s">
        <v>664</v>
      </c>
      <c r="E58" s="414">
        <f>入力!O61+入力!N61</f>
        <v>0</v>
      </c>
      <c r="F58" s="514">
        <f>温度条件他根拠!D73</f>
        <v>0.876</v>
      </c>
      <c r="G58" s="510">
        <f>標準日射取得量1!G10</f>
        <v>71.61</v>
      </c>
      <c r="H58" s="469">
        <f t="shared" si="7"/>
        <v>0</v>
      </c>
      <c r="I58" s="512">
        <f>標準日射取得量1!J10</f>
        <v>167.4</v>
      </c>
      <c r="J58" s="469">
        <f t="shared" si="8"/>
        <v>0</v>
      </c>
      <c r="K58" s="512">
        <f>標準日射取得量1!M10</f>
        <v>52.080000000000005</v>
      </c>
      <c r="L58" s="472">
        <f t="shared" si="9"/>
        <v>0</v>
      </c>
      <c r="M58" s="502"/>
      <c r="N58" s="503"/>
      <c r="O58" s="503"/>
      <c r="P58" s="503"/>
      <c r="Q58" s="504"/>
    </row>
    <row r="59" spans="1:19">
      <c r="B59" s="1569"/>
      <c r="C59" s="1754"/>
      <c r="D59" s="1031" t="s">
        <v>665</v>
      </c>
      <c r="E59" s="414">
        <f>入力!O62+入力!N62</f>
        <v>0</v>
      </c>
      <c r="F59" s="514">
        <f>温度条件他根拠!D73</f>
        <v>0.876</v>
      </c>
      <c r="G59" s="510">
        <f>標準日射取得量1!G11</f>
        <v>39.06</v>
      </c>
      <c r="H59" s="469">
        <f t="shared" si="7"/>
        <v>0</v>
      </c>
      <c r="I59" s="512">
        <f>標準日射取得量1!J11</f>
        <v>136.71</v>
      </c>
      <c r="J59" s="469">
        <f t="shared" si="8"/>
        <v>0</v>
      </c>
      <c r="K59" s="512">
        <f>標準日射取得量1!M11</f>
        <v>390.6</v>
      </c>
      <c r="L59" s="472">
        <f t="shared" si="9"/>
        <v>0</v>
      </c>
      <c r="M59" s="502"/>
      <c r="N59" s="503"/>
      <c r="O59" s="503"/>
      <c r="P59" s="503"/>
      <c r="Q59" s="504"/>
    </row>
    <row r="60" spans="1:19">
      <c r="B60" s="1569"/>
      <c r="C60" s="1754"/>
      <c r="D60" s="1031" t="s">
        <v>666</v>
      </c>
      <c r="E60" s="414">
        <f>入力!O63+入力!N63</f>
        <v>0</v>
      </c>
      <c r="F60" s="514">
        <f>温度条件他根拠!D73</f>
        <v>0.876</v>
      </c>
      <c r="G60" s="510">
        <f>標準日射取得量1!G12</f>
        <v>39.06</v>
      </c>
      <c r="H60" s="469">
        <f t="shared" si="7"/>
        <v>0</v>
      </c>
      <c r="I60" s="512">
        <f>標準日射取得量1!J12</f>
        <v>46.5</v>
      </c>
      <c r="J60" s="469">
        <f t="shared" si="8"/>
        <v>0</v>
      </c>
      <c r="K60" s="512">
        <f>標準日射取得量1!M12</f>
        <v>504.99</v>
      </c>
      <c r="L60" s="472">
        <f t="shared" si="9"/>
        <v>0</v>
      </c>
      <c r="M60" s="502"/>
      <c r="N60" s="503"/>
      <c r="O60" s="503"/>
      <c r="P60" s="503"/>
      <c r="Q60" s="504"/>
    </row>
    <row r="61" spans="1:19" ht="14.5" thickBot="1">
      <c r="B61" s="1569"/>
      <c r="C61" s="1755"/>
      <c r="D61" s="1034" t="s">
        <v>667</v>
      </c>
      <c r="E61" s="1059">
        <f>入力!O64+入力!N64</f>
        <v>0</v>
      </c>
      <c r="F61" s="1056">
        <f>温度条件他根拠!D73</f>
        <v>0.876</v>
      </c>
      <c r="G61" s="510">
        <f>標準日射取得量1!G13</f>
        <v>39.06</v>
      </c>
      <c r="H61" s="489">
        <f t="shared" si="7"/>
        <v>0</v>
      </c>
      <c r="I61" s="512">
        <f>標準日射取得量1!J13</f>
        <v>39.99</v>
      </c>
      <c r="J61" s="489">
        <f t="shared" si="8"/>
        <v>0</v>
      </c>
      <c r="K61" s="512">
        <f>標準日射取得量1!M13</f>
        <v>292.95</v>
      </c>
      <c r="L61" s="484">
        <f t="shared" si="9"/>
        <v>0</v>
      </c>
      <c r="M61" s="502"/>
      <c r="N61" s="503"/>
      <c r="O61" s="503"/>
      <c r="P61" s="503"/>
      <c r="Q61" s="504"/>
    </row>
    <row r="62" spans="1:19" ht="18" customHeight="1" thickBot="1">
      <c r="B62" s="1570"/>
      <c r="C62" s="1571" t="s">
        <v>867</v>
      </c>
      <c r="D62" s="1571"/>
      <c r="E62" s="1571"/>
      <c r="F62" s="1572"/>
      <c r="G62" s="709"/>
      <c r="H62" s="515">
        <f>SUM(H54:H61)</f>
        <v>0</v>
      </c>
      <c r="I62" s="1062"/>
      <c r="J62" s="515">
        <f>SUM(J54:J61)</f>
        <v>0</v>
      </c>
      <c r="K62" s="1062"/>
      <c r="L62" s="515">
        <f>SUM(L54:L61)</f>
        <v>0</v>
      </c>
      <c r="M62" s="516"/>
      <c r="N62" s="498"/>
      <c r="O62" s="498"/>
      <c r="P62" s="498"/>
      <c r="Q62" s="517"/>
    </row>
    <row r="63" spans="1:19" ht="18" customHeight="1" thickBot="1">
      <c r="B63" s="1756" t="s">
        <v>782</v>
      </c>
      <c r="C63" s="1757"/>
      <c r="D63" s="1757"/>
      <c r="E63" s="1758"/>
      <c r="F63" s="497"/>
      <c r="G63" s="497"/>
      <c r="H63" s="518">
        <f>H62+H49</f>
        <v>0</v>
      </c>
      <c r="I63" s="497"/>
      <c r="J63" s="518">
        <f>J62+J49</f>
        <v>0</v>
      </c>
      <c r="K63" s="497"/>
      <c r="L63" s="518">
        <f>L62+L49</f>
        <v>0</v>
      </c>
      <c r="M63" s="497"/>
      <c r="N63" s="497"/>
      <c r="O63" s="497"/>
      <c r="P63" s="497"/>
      <c r="Q63" s="458">
        <f>Q49</f>
        <v>0</v>
      </c>
    </row>
    <row r="64" spans="1:19" ht="5.15" customHeight="1">
      <c r="A64" s="438"/>
      <c r="B64" s="438"/>
      <c r="C64" s="438"/>
      <c r="D64" s="438"/>
      <c r="E64" s="438"/>
      <c r="F64" s="438"/>
      <c r="G64" s="438"/>
      <c r="H64" s="519"/>
      <c r="I64" s="438"/>
      <c r="J64" s="519"/>
      <c r="K64" s="438"/>
      <c r="L64" s="519"/>
      <c r="M64" s="438"/>
      <c r="N64" s="438"/>
      <c r="O64" s="438"/>
      <c r="P64" s="438"/>
      <c r="Q64" s="519"/>
      <c r="R64" s="438"/>
      <c r="S64" s="438"/>
    </row>
    <row r="65" spans="2:17" ht="18.5" thickBot="1">
      <c r="B65" s="1741" t="s">
        <v>783</v>
      </c>
      <c r="C65" s="1741"/>
      <c r="D65" s="1741"/>
      <c r="E65" s="1741"/>
      <c r="F65" s="1741"/>
      <c r="G65" s="1741"/>
      <c r="H65" s="1741"/>
      <c r="I65" s="1741"/>
      <c r="J65" s="1741"/>
      <c r="K65" s="1741"/>
      <c r="L65" s="1741"/>
      <c r="M65" s="1741"/>
      <c r="N65" s="1741"/>
      <c r="O65" s="1741"/>
      <c r="P65" s="1741"/>
      <c r="Q65" s="1741"/>
    </row>
    <row r="66" spans="2:17">
      <c r="B66" s="1743" t="s">
        <v>763</v>
      </c>
      <c r="C66" s="1748"/>
      <c r="D66" s="1748" t="s">
        <v>764</v>
      </c>
      <c r="E66" s="1748"/>
      <c r="F66" s="1759"/>
      <c r="G66" s="1760" t="s">
        <v>765</v>
      </c>
      <c r="H66" s="1761"/>
      <c r="I66" s="1761"/>
      <c r="J66" s="1761"/>
      <c r="K66" s="1761"/>
      <c r="L66" s="1762"/>
      <c r="M66" s="1743" t="s">
        <v>766</v>
      </c>
      <c r="N66" s="1763"/>
      <c r="O66" s="1763"/>
      <c r="P66" s="1763"/>
      <c r="Q66" s="1751"/>
    </row>
    <row r="67" spans="2:17">
      <c r="B67" s="1744"/>
      <c r="C67" s="1749"/>
      <c r="D67" s="1749" t="s">
        <v>656</v>
      </c>
      <c r="E67" s="2142" t="s">
        <v>1077</v>
      </c>
      <c r="F67" s="1764" t="s">
        <v>761</v>
      </c>
      <c r="G67" s="1765" t="s">
        <v>767</v>
      </c>
      <c r="H67" s="1754"/>
      <c r="I67" s="1764" t="s">
        <v>768</v>
      </c>
      <c r="J67" s="1754"/>
      <c r="K67" s="1764" t="s">
        <v>769</v>
      </c>
      <c r="L67" s="1766"/>
      <c r="M67" s="1744" t="s">
        <v>770</v>
      </c>
      <c r="N67" s="1767" t="s">
        <v>771</v>
      </c>
      <c r="O67" s="1735" t="s">
        <v>772</v>
      </c>
      <c r="P67" s="1740" t="s">
        <v>773</v>
      </c>
      <c r="Q67" s="1742" t="s">
        <v>766</v>
      </c>
    </row>
    <row r="68" spans="2:17">
      <c r="B68" s="1744"/>
      <c r="C68" s="1749"/>
      <c r="D68" s="1749"/>
      <c r="E68" s="2143"/>
      <c r="F68" s="1764"/>
      <c r="G68" s="439" t="s">
        <v>774</v>
      </c>
      <c r="H68" s="440" t="s">
        <v>765</v>
      </c>
      <c r="I68" s="440" t="s">
        <v>774</v>
      </c>
      <c r="J68" s="440" t="s">
        <v>765</v>
      </c>
      <c r="K68" s="440" t="s">
        <v>774</v>
      </c>
      <c r="L68" s="441" t="s">
        <v>765</v>
      </c>
      <c r="M68" s="1744"/>
      <c r="N68" s="1736"/>
      <c r="O68" s="1736"/>
      <c r="P68" s="1740"/>
      <c r="Q68" s="1742"/>
    </row>
    <row r="69" spans="2:17" ht="17" thickBot="1">
      <c r="B69" s="1745"/>
      <c r="C69" s="1750"/>
      <c r="D69" s="1750"/>
      <c r="E69" s="910" t="s">
        <v>1150</v>
      </c>
      <c r="F69" s="442" t="s">
        <v>1145</v>
      </c>
      <c r="G69" s="1033" t="s">
        <v>739</v>
      </c>
      <c r="H69" s="1034" t="s">
        <v>77</v>
      </c>
      <c r="I69" s="1034" t="s">
        <v>739</v>
      </c>
      <c r="J69" s="1034" t="s">
        <v>77</v>
      </c>
      <c r="K69" s="1034" t="s">
        <v>738</v>
      </c>
      <c r="L69" s="443" t="s">
        <v>77</v>
      </c>
      <c r="M69" s="1063" t="s">
        <v>775</v>
      </c>
      <c r="N69" s="430" t="s">
        <v>776</v>
      </c>
      <c r="O69" s="430" t="s">
        <v>776</v>
      </c>
      <c r="P69" s="1034" t="s">
        <v>740</v>
      </c>
      <c r="Q69" s="520" t="s">
        <v>12</v>
      </c>
    </row>
    <row r="70" spans="2:17" ht="15" customHeight="1" thickBot="1">
      <c r="B70" s="1618" t="s">
        <v>777</v>
      </c>
      <c r="C70" s="445" t="s">
        <v>657</v>
      </c>
      <c r="D70" s="446" t="s">
        <v>778</v>
      </c>
      <c r="E70" s="447">
        <f t="shared" ref="E70:E78" si="10">E30</f>
        <v>0</v>
      </c>
      <c r="F70" s="521">
        <f>入力!D76</f>
        <v>3.91</v>
      </c>
      <c r="G70" s="522">
        <f>'外壁実効温度差（ETD)一覧表'!L59</f>
        <v>7.1</v>
      </c>
      <c r="H70" s="450">
        <f>G70*F70*E70</f>
        <v>0</v>
      </c>
      <c r="I70" s="451">
        <f>'外壁実効温度差（ETD)一覧表'!O59</f>
        <v>16.100000000000001</v>
      </c>
      <c r="J70" s="450">
        <f>I70*F70*E70</f>
        <v>0</v>
      </c>
      <c r="K70" s="452">
        <f>'外壁実効温度差（ETD)一覧表'!R59</f>
        <v>23.1</v>
      </c>
      <c r="L70" s="453">
        <f>K70*F70*E70</f>
        <v>0</v>
      </c>
      <c r="M70" s="523">
        <f>20--1.5</f>
        <v>21.5</v>
      </c>
      <c r="N70" s="524">
        <v>1</v>
      </c>
      <c r="O70" s="525">
        <f>'熱負荷計算シート (2)'!N44</f>
        <v>1</v>
      </c>
      <c r="P70" s="457">
        <f>'熱負荷計算シート (2)'!M44</f>
        <v>21.5</v>
      </c>
      <c r="Q70" s="458">
        <f>M70*F70*E70*N70</f>
        <v>0</v>
      </c>
    </row>
    <row r="71" spans="2:17">
      <c r="B71" s="1619"/>
      <c r="C71" s="1743" t="s">
        <v>659</v>
      </c>
      <c r="D71" s="1061" t="s">
        <v>660</v>
      </c>
      <c r="E71" s="1057">
        <f t="shared" si="10"/>
        <v>0</v>
      </c>
      <c r="F71" s="526">
        <f>入力!D93</f>
        <v>1.18</v>
      </c>
      <c r="G71" s="460">
        <f>'外壁実効温度差（ETD)一覧表'!L60</f>
        <v>3.1</v>
      </c>
      <c r="H71" s="461">
        <f t="shared" ref="H71:H87" si="11">G71*F71*E71</f>
        <v>0</v>
      </c>
      <c r="I71" s="462">
        <f>'外壁実効温度差（ETD)一覧表'!O60</f>
        <v>4.0999999999999996</v>
      </c>
      <c r="J71" s="461">
        <f>I71*F71*E71</f>
        <v>0</v>
      </c>
      <c r="K71" s="462">
        <f>'外壁実効温度差（ETD)一覧表'!R60</f>
        <v>6.1</v>
      </c>
      <c r="L71" s="464">
        <f t="shared" ref="L71:L87" si="12">K71*F71*E71</f>
        <v>0</v>
      </c>
      <c r="M71" s="1051">
        <f t="shared" ref="M71:M87" si="13">20--1.5</f>
        <v>21.5</v>
      </c>
      <c r="N71" s="1052">
        <v>1.1000000000000001</v>
      </c>
      <c r="O71" s="527">
        <f>'熱負荷計算シート (2)'!N45</f>
        <v>1.1000000000000001</v>
      </c>
      <c r="P71" s="466">
        <f>'熱負荷計算シート (2)'!M45</f>
        <v>21.5</v>
      </c>
      <c r="Q71" s="464">
        <f>M71*F71*E71*N71</f>
        <v>0</v>
      </c>
    </row>
    <row r="72" spans="2:17">
      <c r="B72" s="1619"/>
      <c r="C72" s="1744"/>
      <c r="D72" s="1031" t="s">
        <v>661</v>
      </c>
      <c r="E72" s="414">
        <f t="shared" si="10"/>
        <v>0</v>
      </c>
      <c r="F72" s="528">
        <f>入力!D94</f>
        <v>1.18</v>
      </c>
      <c r="G72" s="468">
        <f>'外壁実効温度差（ETD)一覧表'!L61</f>
        <v>7.1</v>
      </c>
      <c r="H72" s="469">
        <f t="shared" si="11"/>
        <v>0</v>
      </c>
      <c r="I72" s="470">
        <f>'外壁実効温度差（ETD)一覧表'!O61</f>
        <v>9.1</v>
      </c>
      <c r="J72" s="469">
        <f>I72*F72*E72</f>
        <v>0</v>
      </c>
      <c r="K72" s="470">
        <f>'外壁実効温度差（ETD)一覧表'!R61</f>
        <v>9.1</v>
      </c>
      <c r="L72" s="472">
        <f t="shared" si="12"/>
        <v>0</v>
      </c>
      <c r="M72" s="473">
        <f t="shared" si="13"/>
        <v>21.5</v>
      </c>
      <c r="N72" s="433">
        <v>1.05</v>
      </c>
      <c r="O72" s="529">
        <f>'熱負荷計算シート (2)'!N46</f>
        <v>1.05</v>
      </c>
      <c r="P72" s="475">
        <f>'熱負荷計算シート (2)'!M46</f>
        <v>21.5</v>
      </c>
      <c r="Q72" s="472">
        <f>M72*F72*E72*N72</f>
        <v>0</v>
      </c>
    </row>
    <row r="73" spans="2:17">
      <c r="B73" s="1619"/>
      <c r="C73" s="1744"/>
      <c r="D73" s="1031" t="s">
        <v>662</v>
      </c>
      <c r="E73" s="414">
        <f t="shared" si="10"/>
        <v>0</v>
      </c>
      <c r="F73" s="528">
        <f>入力!D95</f>
        <v>1.18</v>
      </c>
      <c r="G73" s="468">
        <f>'外壁実効温度差（ETD)一覧表'!L62</f>
        <v>8.1</v>
      </c>
      <c r="H73" s="469">
        <f t="shared" si="11"/>
        <v>0</v>
      </c>
      <c r="I73" s="470">
        <f>'外壁実効温度差（ETD)一覧表'!O62</f>
        <v>12.1</v>
      </c>
      <c r="J73" s="469">
        <f t="shared" ref="J73:J87" si="14">I73*F73*E73</f>
        <v>0</v>
      </c>
      <c r="K73" s="470">
        <f>'外壁実効温度差（ETD)一覧表'!R62</f>
        <v>11.1</v>
      </c>
      <c r="L73" s="472">
        <f t="shared" si="12"/>
        <v>0</v>
      </c>
      <c r="M73" s="473">
        <f t="shared" si="13"/>
        <v>21.5</v>
      </c>
      <c r="N73" s="433">
        <v>1.05</v>
      </c>
      <c r="O73" s="529">
        <f>'熱負荷計算シート (2)'!N47</f>
        <v>1.05</v>
      </c>
      <c r="P73" s="475">
        <f>'熱負荷計算シート (2)'!M47</f>
        <v>21.5</v>
      </c>
      <c r="Q73" s="472">
        <f t="shared" ref="Q73:Q77" si="15">M73*F73*E73*N73</f>
        <v>0</v>
      </c>
    </row>
    <row r="74" spans="2:17">
      <c r="B74" s="1619"/>
      <c r="C74" s="1744"/>
      <c r="D74" s="1031" t="s">
        <v>663</v>
      </c>
      <c r="E74" s="414">
        <f t="shared" si="10"/>
        <v>0</v>
      </c>
      <c r="F74" s="528">
        <f>入力!D96</f>
        <v>1.18</v>
      </c>
      <c r="G74" s="468">
        <f>'外壁実効温度差（ETD)一覧表'!L63</f>
        <v>6.1</v>
      </c>
      <c r="H74" s="469">
        <f t="shared" si="11"/>
        <v>0</v>
      </c>
      <c r="I74" s="470">
        <f>'外壁実効温度差（ETD)一覧表'!O63</f>
        <v>11.1</v>
      </c>
      <c r="J74" s="469">
        <f t="shared" si="14"/>
        <v>0</v>
      </c>
      <c r="K74" s="470">
        <f>'外壁実効温度差（ETD)一覧表'!R63</f>
        <v>11.1</v>
      </c>
      <c r="L74" s="472">
        <f t="shared" si="12"/>
        <v>0</v>
      </c>
      <c r="M74" s="473">
        <f t="shared" si="13"/>
        <v>21.5</v>
      </c>
      <c r="N74" s="433">
        <v>1.05</v>
      </c>
      <c r="O74" s="529">
        <f>'熱負荷計算シート (2)'!N48</f>
        <v>1.05</v>
      </c>
      <c r="P74" s="475">
        <f>'熱負荷計算シート (2)'!M48</f>
        <v>21.5</v>
      </c>
      <c r="Q74" s="472">
        <f t="shared" si="15"/>
        <v>0</v>
      </c>
    </row>
    <row r="75" spans="2:17">
      <c r="B75" s="1619"/>
      <c r="C75" s="1744"/>
      <c r="D75" s="1031" t="s">
        <v>664</v>
      </c>
      <c r="E75" s="414">
        <f t="shared" si="10"/>
        <v>0</v>
      </c>
      <c r="F75" s="528">
        <f>入力!D97</f>
        <v>1.18</v>
      </c>
      <c r="G75" s="468">
        <f>'外壁実効温度差（ETD)一覧表'!L64</f>
        <v>2.1</v>
      </c>
      <c r="H75" s="469">
        <f t="shared" si="11"/>
        <v>0</v>
      </c>
      <c r="I75" s="470">
        <f>'外壁実効温度差（ETD)一覧表'!O64</f>
        <v>5.0999999999999996</v>
      </c>
      <c r="J75" s="469">
        <f t="shared" si="14"/>
        <v>0</v>
      </c>
      <c r="K75" s="470">
        <f>'外壁実効温度差（ETD)一覧表'!R64</f>
        <v>9.1</v>
      </c>
      <c r="L75" s="472">
        <f t="shared" si="12"/>
        <v>0</v>
      </c>
      <c r="M75" s="473">
        <f t="shared" si="13"/>
        <v>21.5</v>
      </c>
      <c r="N75" s="433">
        <v>1</v>
      </c>
      <c r="O75" s="530">
        <f>'熱負荷計算シート (2)'!N49</f>
        <v>1</v>
      </c>
      <c r="P75" s="475">
        <f>'熱負荷計算シート (2)'!M49</f>
        <v>21.5</v>
      </c>
      <c r="Q75" s="472">
        <f t="shared" si="15"/>
        <v>0</v>
      </c>
    </row>
    <row r="76" spans="2:17">
      <c r="B76" s="1619"/>
      <c r="C76" s="1744"/>
      <c r="D76" s="1031" t="s">
        <v>665</v>
      </c>
      <c r="E76" s="414">
        <f t="shared" si="10"/>
        <v>0</v>
      </c>
      <c r="F76" s="528">
        <f>入力!D98</f>
        <v>1.18</v>
      </c>
      <c r="G76" s="468">
        <f>'外壁実効温度差（ETD)一覧表'!L65</f>
        <v>2.1</v>
      </c>
      <c r="H76" s="469">
        <f t="shared" si="11"/>
        <v>0</v>
      </c>
      <c r="I76" s="470">
        <f>'外壁実効温度差（ETD)一覧表'!O65</f>
        <v>4.0999999999999996</v>
      </c>
      <c r="J76" s="469">
        <f t="shared" si="14"/>
        <v>0</v>
      </c>
      <c r="K76" s="470">
        <f>'外壁実効温度差（ETD)一覧表'!R65</f>
        <v>9.1</v>
      </c>
      <c r="L76" s="472">
        <f t="shared" si="12"/>
        <v>0</v>
      </c>
      <c r="M76" s="473">
        <f t="shared" si="13"/>
        <v>21.5</v>
      </c>
      <c r="N76" s="433">
        <v>1.05</v>
      </c>
      <c r="O76" s="529">
        <f>'熱負荷計算シート (2)'!N50</f>
        <v>1.05</v>
      </c>
      <c r="P76" s="475">
        <f>'熱負荷計算シート (2)'!M50</f>
        <v>21.5</v>
      </c>
      <c r="Q76" s="472">
        <f t="shared" si="15"/>
        <v>0</v>
      </c>
    </row>
    <row r="77" spans="2:17">
      <c r="B77" s="1619"/>
      <c r="C77" s="1744"/>
      <c r="D77" s="1031" t="s">
        <v>666</v>
      </c>
      <c r="E77" s="414">
        <f t="shared" si="10"/>
        <v>0</v>
      </c>
      <c r="F77" s="528">
        <f>入力!D99</f>
        <v>1.18</v>
      </c>
      <c r="G77" s="468">
        <f>'外壁実効温度差（ETD)一覧表'!L66</f>
        <v>2.1</v>
      </c>
      <c r="H77" s="469">
        <f t="shared" si="11"/>
        <v>0</v>
      </c>
      <c r="I77" s="470">
        <f>'外壁実効温度差（ETD)一覧表'!O66</f>
        <v>4.0999999999999996</v>
      </c>
      <c r="J77" s="469">
        <f t="shared" si="14"/>
        <v>0</v>
      </c>
      <c r="K77" s="470">
        <f>'外壁実効温度差（ETD)一覧表'!R66</f>
        <v>8.1</v>
      </c>
      <c r="L77" s="472">
        <f t="shared" si="12"/>
        <v>0</v>
      </c>
      <c r="M77" s="473">
        <f t="shared" si="13"/>
        <v>21.5</v>
      </c>
      <c r="N77" s="433">
        <v>1.1000000000000001</v>
      </c>
      <c r="O77" s="529">
        <f>'熱負荷計算シート (2)'!N51</f>
        <v>1.1000000000000001</v>
      </c>
      <c r="P77" s="475">
        <f>'熱負荷計算シート (2)'!M51</f>
        <v>21.5</v>
      </c>
      <c r="Q77" s="472">
        <f t="shared" si="15"/>
        <v>0</v>
      </c>
    </row>
    <row r="78" spans="2:17" ht="14.5" thickBot="1">
      <c r="B78" s="1619"/>
      <c r="C78" s="1745"/>
      <c r="D78" s="1034" t="s">
        <v>667</v>
      </c>
      <c r="E78" s="1059">
        <f t="shared" si="10"/>
        <v>0</v>
      </c>
      <c r="F78" s="531">
        <f>入力!D100</f>
        <v>1.18</v>
      </c>
      <c r="G78" s="488">
        <f>'外壁実効温度差（ETD)一覧表'!L67</f>
        <v>2.1</v>
      </c>
      <c r="H78" s="489">
        <f t="shared" si="11"/>
        <v>0</v>
      </c>
      <c r="I78" s="490">
        <f>'外壁実効温度差（ETD)一覧表'!O67</f>
        <v>4.0999999999999996</v>
      </c>
      <c r="J78" s="489">
        <f t="shared" si="14"/>
        <v>0</v>
      </c>
      <c r="K78" s="490">
        <f>'外壁実効温度差（ETD)一覧表'!R67</f>
        <v>6.1</v>
      </c>
      <c r="L78" s="484">
        <f t="shared" si="12"/>
        <v>0</v>
      </c>
      <c r="M78" s="1054">
        <f t="shared" si="13"/>
        <v>21.5</v>
      </c>
      <c r="N78" s="1055">
        <v>1.1000000000000001</v>
      </c>
      <c r="O78" s="532">
        <f>'熱負荷計算シート (2)'!N52</f>
        <v>1.1000000000000001</v>
      </c>
      <c r="P78" s="483">
        <f>'熱負荷計算シート (2)'!M52</f>
        <v>21.5</v>
      </c>
      <c r="Q78" s="484">
        <f>M78*F78*E78*N78</f>
        <v>0</v>
      </c>
    </row>
    <row r="79" spans="2:17" ht="14.5" thickBot="1">
      <c r="B79" s="1619"/>
      <c r="C79" s="1617" t="s">
        <v>868</v>
      </c>
      <c r="D79" s="1566"/>
      <c r="E79" s="1566"/>
      <c r="F79" s="1567"/>
      <c r="G79" s="695"/>
      <c r="H79" s="518">
        <f>SUBTOTAL(9,H71:H78)</f>
        <v>0</v>
      </c>
      <c r="I79" s="696"/>
      <c r="J79" s="518">
        <f>SUBTOTAL(9,J71:J78)</f>
        <v>0</v>
      </c>
      <c r="K79" s="697"/>
      <c r="L79" s="698">
        <f>SUBTOTAL(9,L71:L78)</f>
        <v>0</v>
      </c>
      <c r="M79" s="685"/>
      <c r="N79" s="1042"/>
      <c r="O79" s="701"/>
      <c r="P79" s="1040"/>
      <c r="Q79" s="458">
        <f>SUBTOTAL(9,Q71:Q78)</f>
        <v>0</v>
      </c>
    </row>
    <row r="80" spans="2:17">
      <c r="B80" s="1619"/>
      <c r="C80" s="1746" t="s">
        <v>668</v>
      </c>
      <c r="D80" s="1061" t="s">
        <v>660</v>
      </c>
      <c r="E80" s="1057">
        <f t="shared" ref="E80:E87" si="16">E40</f>
        <v>0</v>
      </c>
      <c r="F80" s="1053">
        <f>入力!G140</f>
        <v>5.95</v>
      </c>
      <c r="G80" s="460">
        <f t="shared" ref="G80:G87" si="17">G40</f>
        <v>3.8999999999999986</v>
      </c>
      <c r="H80" s="461">
        <f t="shared" si="11"/>
        <v>0</v>
      </c>
      <c r="I80" s="462">
        <f t="shared" ref="I80:I87" si="18">I40</f>
        <v>3.8999999999999986</v>
      </c>
      <c r="J80" s="461">
        <f t="shared" si="14"/>
        <v>0</v>
      </c>
      <c r="K80" s="462">
        <f t="shared" ref="K80" si="19">K40</f>
        <v>3.8999999999999986</v>
      </c>
      <c r="L80" s="464">
        <f t="shared" si="12"/>
        <v>0</v>
      </c>
      <c r="M80" s="533">
        <f t="shared" si="13"/>
        <v>21.5</v>
      </c>
      <c r="N80" s="702">
        <v>1.1000000000000001</v>
      </c>
      <c r="O80" s="703">
        <f>'熱負荷計算シート (2)'!N53</f>
        <v>1.1000000000000001</v>
      </c>
      <c r="P80" s="1046">
        <f>'熱負荷計算シート (2)'!M53</f>
        <v>21.5</v>
      </c>
      <c r="Q80" s="513">
        <f>M80*F80*E80*N80</f>
        <v>0</v>
      </c>
    </row>
    <row r="81" spans="2:17">
      <c r="B81" s="1619"/>
      <c r="C81" s="1744"/>
      <c r="D81" s="1031" t="s">
        <v>661</v>
      </c>
      <c r="E81" s="414">
        <f t="shared" si="16"/>
        <v>0</v>
      </c>
      <c r="F81" s="514">
        <f>入力!G141</f>
        <v>5.95</v>
      </c>
      <c r="G81" s="468">
        <f t="shared" si="17"/>
        <v>3.8999999999999986</v>
      </c>
      <c r="H81" s="469">
        <f t="shared" si="11"/>
        <v>0</v>
      </c>
      <c r="I81" s="470">
        <f t="shared" si="18"/>
        <v>3.8999999999999986</v>
      </c>
      <c r="J81" s="469">
        <f t="shared" si="14"/>
        <v>0</v>
      </c>
      <c r="K81" s="470">
        <f t="shared" ref="K81" si="20">K41</f>
        <v>3.8999999999999986</v>
      </c>
      <c r="L81" s="472">
        <f t="shared" si="12"/>
        <v>0</v>
      </c>
      <c r="M81" s="534">
        <f t="shared" si="13"/>
        <v>21.5</v>
      </c>
      <c r="N81" s="433">
        <v>1.05</v>
      </c>
      <c r="O81" s="529">
        <f>'熱負荷計算シート (2)'!N54</f>
        <v>1.05</v>
      </c>
      <c r="P81" s="475">
        <f>'熱負荷計算シート (2)'!M54</f>
        <v>21.5</v>
      </c>
      <c r="Q81" s="472">
        <f>M81*F81*E81*N81</f>
        <v>0</v>
      </c>
    </row>
    <row r="82" spans="2:17">
      <c r="B82" s="1619"/>
      <c r="C82" s="1744"/>
      <c r="D82" s="1031" t="s">
        <v>662</v>
      </c>
      <c r="E82" s="414">
        <f t="shared" si="16"/>
        <v>0</v>
      </c>
      <c r="F82" s="514">
        <f>入力!G142</f>
        <v>5.95</v>
      </c>
      <c r="G82" s="468">
        <f t="shared" si="17"/>
        <v>3.8999999999999986</v>
      </c>
      <c r="H82" s="469">
        <f t="shared" si="11"/>
        <v>0</v>
      </c>
      <c r="I82" s="470">
        <f t="shared" si="18"/>
        <v>3.8999999999999986</v>
      </c>
      <c r="J82" s="469">
        <f t="shared" si="14"/>
        <v>0</v>
      </c>
      <c r="K82" s="470">
        <f t="shared" ref="K82" si="21">K42</f>
        <v>3.8999999999999986</v>
      </c>
      <c r="L82" s="472">
        <f t="shared" si="12"/>
        <v>0</v>
      </c>
      <c r="M82" s="534">
        <f t="shared" si="13"/>
        <v>21.5</v>
      </c>
      <c r="N82" s="433">
        <v>1.05</v>
      </c>
      <c r="O82" s="529">
        <f>'熱負荷計算シート (2)'!N55</f>
        <v>1.05</v>
      </c>
      <c r="P82" s="475">
        <f>'熱負荷計算シート (2)'!M55</f>
        <v>21.5</v>
      </c>
      <c r="Q82" s="472">
        <f t="shared" ref="Q82:Q86" si="22">M82*F82*E82*N82</f>
        <v>0</v>
      </c>
    </row>
    <row r="83" spans="2:17">
      <c r="B83" s="1619"/>
      <c r="C83" s="1744"/>
      <c r="D83" s="1031" t="s">
        <v>663</v>
      </c>
      <c r="E83" s="414">
        <f t="shared" si="16"/>
        <v>0</v>
      </c>
      <c r="F83" s="514">
        <f>入力!G143</f>
        <v>5.95</v>
      </c>
      <c r="G83" s="468">
        <f t="shared" si="17"/>
        <v>3.8999999999999986</v>
      </c>
      <c r="H83" s="469">
        <f t="shared" si="11"/>
        <v>0</v>
      </c>
      <c r="I83" s="470">
        <f t="shared" si="18"/>
        <v>3.8999999999999986</v>
      </c>
      <c r="J83" s="469">
        <f t="shared" si="14"/>
        <v>0</v>
      </c>
      <c r="K83" s="470">
        <f t="shared" ref="K83" si="23">K43</f>
        <v>3.8999999999999986</v>
      </c>
      <c r="L83" s="472">
        <f t="shared" si="12"/>
        <v>0</v>
      </c>
      <c r="M83" s="534">
        <f t="shared" si="13"/>
        <v>21.5</v>
      </c>
      <c r="N83" s="433">
        <v>1.05</v>
      </c>
      <c r="O83" s="529">
        <f>'熱負荷計算シート (2)'!N56</f>
        <v>1.05</v>
      </c>
      <c r="P83" s="475">
        <f>'熱負荷計算シート (2)'!M56</f>
        <v>21.5</v>
      </c>
      <c r="Q83" s="472">
        <f t="shared" si="22"/>
        <v>0</v>
      </c>
    </row>
    <row r="84" spans="2:17">
      <c r="B84" s="1619"/>
      <c r="C84" s="1744"/>
      <c r="D84" s="1031" t="s">
        <v>664</v>
      </c>
      <c r="E84" s="414">
        <f t="shared" si="16"/>
        <v>0</v>
      </c>
      <c r="F84" s="514">
        <f>入力!G144</f>
        <v>5.95</v>
      </c>
      <c r="G84" s="468">
        <f t="shared" si="17"/>
        <v>3.8999999999999986</v>
      </c>
      <c r="H84" s="469">
        <f t="shared" si="11"/>
        <v>0</v>
      </c>
      <c r="I84" s="470">
        <f t="shared" si="18"/>
        <v>3.8999999999999986</v>
      </c>
      <c r="J84" s="469">
        <f t="shared" si="14"/>
        <v>0</v>
      </c>
      <c r="K84" s="470">
        <f t="shared" ref="K84" si="24">K44</f>
        <v>3.8999999999999986</v>
      </c>
      <c r="L84" s="472">
        <f t="shared" si="12"/>
        <v>0</v>
      </c>
      <c r="M84" s="534">
        <f t="shared" si="13"/>
        <v>21.5</v>
      </c>
      <c r="N84" s="433">
        <v>1</v>
      </c>
      <c r="O84" s="530">
        <f>'熱負荷計算シート (2)'!N57</f>
        <v>1</v>
      </c>
      <c r="P84" s="475">
        <f>'熱負荷計算シート (2)'!M57</f>
        <v>21.5</v>
      </c>
      <c r="Q84" s="472">
        <f t="shared" si="22"/>
        <v>0</v>
      </c>
    </row>
    <row r="85" spans="2:17">
      <c r="B85" s="1619"/>
      <c r="C85" s="1744"/>
      <c r="D85" s="1031" t="s">
        <v>665</v>
      </c>
      <c r="E85" s="414">
        <f t="shared" si="16"/>
        <v>0</v>
      </c>
      <c r="F85" s="514">
        <f>入力!G145</f>
        <v>5.95</v>
      </c>
      <c r="G85" s="468">
        <f t="shared" si="17"/>
        <v>3.8999999999999986</v>
      </c>
      <c r="H85" s="469">
        <f t="shared" si="11"/>
        <v>0</v>
      </c>
      <c r="I85" s="470">
        <f t="shared" si="18"/>
        <v>3.8999999999999986</v>
      </c>
      <c r="J85" s="469">
        <f t="shared" si="14"/>
        <v>0</v>
      </c>
      <c r="K85" s="470">
        <f t="shared" ref="K85" si="25">K45</f>
        <v>3.8999999999999986</v>
      </c>
      <c r="L85" s="472">
        <f t="shared" si="12"/>
        <v>0</v>
      </c>
      <c r="M85" s="534">
        <f t="shared" si="13"/>
        <v>21.5</v>
      </c>
      <c r="N85" s="433">
        <v>1.05</v>
      </c>
      <c r="O85" s="529">
        <f>'熱負荷計算シート (2)'!N58</f>
        <v>1.05</v>
      </c>
      <c r="P85" s="475">
        <f>'熱負荷計算シート (2)'!M58</f>
        <v>21.5</v>
      </c>
      <c r="Q85" s="472">
        <f t="shared" si="22"/>
        <v>0</v>
      </c>
    </row>
    <row r="86" spans="2:17">
      <c r="B86" s="1619"/>
      <c r="C86" s="1744"/>
      <c r="D86" s="1031" t="s">
        <v>666</v>
      </c>
      <c r="E86" s="414">
        <f t="shared" si="16"/>
        <v>0</v>
      </c>
      <c r="F86" s="514">
        <f>入力!G146</f>
        <v>5.95</v>
      </c>
      <c r="G86" s="468">
        <f t="shared" si="17"/>
        <v>3.8999999999999986</v>
      </c>
      <c r="H86" s="469">
        <f t="shared" si="11"/>
        <v>0</v>
      </c>
      <c r="I86" s="470">
        <f t="shared" si="18"/>
        <v>3.8999999999999986</v>
      </c>
      <c r="J86" s="469">
        <f t="shared" si="14"/>
        <v>0</v>
      </c>
      <c r="K86" s="470">
        <f t="shared" ref="K86" si="26">K46</f>
        <v>3.8999999999999986</v>
      </c>
      <c r="L86" s="472">
        <f t="shared" si="12"/>
        <v>0</v>
      </c>
      <c r="M86" s="534">
        <f t="shared" si="13"/>
        <v>21.5</v>
      </c>
      <c r="N86" s="433">
        <v>1.1000000000000001</v>
      </c>
      <c r="O86" s="529">
        <f>'熱負荷計算シート (2)'!N59</f>
        <v>1.1000000000000001</v>
      </c>
      <c r="P86" s="475">
        <f>'熱負荷計算シート (2)'!M59</f>
        <v>21.5</v>
      </c>
      <c r="Q86" s="472">
        <f t="shared" si="22"/>
        <v>0</v>
      </c>
    </row>
    <row r="87" spans="2:17" ht="14.5" thickBot="1">
      <c r="B87" s="1619"/>
      <c r="C87" s="1745"/>
      <c r="D87" s="1034" t="s">
        <v>667</v>
      </c>
      <c r="E87" s="1059">
        <f t="shared" si="16"/>
        <v>0</v>
      </c>
      <c r="F87" s="1056">
        <f>入力!G147</f>
        <v>5.95</v>
      </c>
      <c r="G87" s="488">
        <f t="shared" si="17"/>
        <v>3.8999999999999986</v>
      </c>
      <c r="H87" s="489">
        <f t="shared" si="11"/>
        <v>0</v>
      </c>
      <c r="I87" s="490">
        <f t="shared" si="18"/>
        <v>3.8999999999999986</v>
      </c>
      <c r="J87" s="489">
        <f t="shared" si="14"/>
        <v>0</v>
      </c>
      <c r="K87" s="490">
        <f t="shared" ref="K87" si="27">K47</f>
        <v>3.8999999999999986</v>
      </c>
      <c r="L87" s="484">
        <f t="shared" si="12"/>
        <v>0</v>
      </c>
      <c r="M87" s="535">
        <f t="shared" si="13"/>
        <v>21.5</v>
      </c>
      <c r="N87" s="699">
        <v>1.1000000000000001</v>
      </c>
      <c r="O87" s="700">
        <f>'熱負荷計算シート (2)'!N60</f>
        <v>1.1000000000000001</v>
      </c>
      <c r="P87" s="1043">
        <f>'熱負荷計算シート (2)'!M60</f>
        <v>21.5</v>
      </c>
      <c r="Q87" s="481">
        <f>M87*F87*E87*N87</f>
        <v>0</v>
      </c>
    </row>
    <row r="88" spans="2:17" ht="14.5" thickBot="1">
      <c r="B88" s="1619"/>
      <c r="C88" s="1617" t="s">
        <v>868</v>
      </c>
      <c r="D88" s="1566"/>
      <c r="E88" s="1566"/>
      <c r="F88" s="1567"/>
      <c r="G88" s="695"/>
      <c r="H88" s="518">
        <f>SUBTOTAL(9,H80:H87)</f>
        <v>0</v>
      </c>
      <c r="I88" s="696"/>
      <c r="J88" s="518">
        <f>SUBTOTAL(9,J80:J87)</f>
        <v>0</v>
      </c>
      <c r="K88" s="697"/>
      <c r="L88" s="698">
        <f>SUBTOTAL(9,L80:L87)</f>
        <v>0</v>
      </c>
      <c r="M88" s="685"/>
      <c r="N88" s="1042"/>
      <c r="O88" s="701"/>
      <c r="P88" s="1040"/>
      <c r="Q88" s="458">
        <f>SUBTOTAL(9,Q80:Q87)</f>
        <v>0</v>
      </c>
    </row>
    <row r="89" spans="2:17" ht="14.5" thickBot="1">
      <c r="B89" s="1620"/>
      <c r="C89" s="1621" t="s">
        <v>869</v>
      </c>
      <c r="D89" s="1622"/>
      <c r="E89" s="1622"/>
      <c r="F89" s="1623"/>
      <c r="G89" s="491"/>
      <c r="H89" s="492">
        <f>H70+H79+H88</f>
        <v>0</v>
      </c>
      <c r="I89" s="493"/>
      <c r="J89" s="492">
        <f>J70+J79+J88</f>
        <v>0</v>
      </c>
      <c r="K89" s="494"/>
      <c r="L89" s="495">
        <f>L70+L79+L88</f>
        <v>0</v>
      </c>
      <c r="M89" s="496"/>
      <c r="N89" s="497"/>
      <c r="O89" s="497"/>
      <c r="P89" s="497"/>
      <c r="Q89" s="458">
        <f>Q70+Q79+Q88</f>
        <v>0</v>
      </c>
    </row>
    <row r="90" spans="2:17">
      <c r="B90" s="1743" t="s">
        <v>763</v>
      </c>
      <c r="C90" s="1748"/>
      <c r="D90" s="1748" t="s">
        <v>764</v>
      </c>
      <c r="E90" s="1748"/>
      <c r="F90" s="1751"/>
      <c r="G90" s="1752" t="s">
        <v>765</v>
      </c>
      <c r="H90" s="1748"/>
      <c r="I90" s="1748"/>
      <c r="J90" s="1748"/>
      <c r="K90" s="1748"/>
      <c r="L90" s="1751"/>
      <c r="M90" s="499"/>
      <c r="N90" s="500"/>
      <c r="O90" s="500"/>
      <c r="P90" s="500"/>
      <c r="Q90" s="501"/>
    </row>
    <row r="91" spans="2:17">
      <c r="B91" s="1744"/>
      <c r="C91" s="1749"/>
      <c r="D91" s="1749" t="s">
        <v>656</v>
      </c>
      <c r="E91" s="2142" t="s">
        <v>1077</v>
      </c>
      <c r="F91" s="2144" t="s">
        <v>1078</v>
      </c>
      <c r="G91" s="1765" t="s">
        <v>767</v>
      </c>
      <c r="H91" s="1754"/>
      <c r="I91" s="1764" t="s">
        <v>768</v>
      </c>
      <c r="J91" s="1754"/>
      <c r="K91" s="1764" t="s">
        <v>769</v>
      </c>
      <c r="L91" s="1766"/>
      <c r="M91" s="502"/>
      <c r="N91" s="503"/>
      <c r="O91" s="503"/>
      <c r="P91" s="503"/>
      <c r="Q91" s="504"/>
    </row>
    <row r="92" spans="2:17">
      <c r="B92" s="1744"/>
      <c r="C92" s="1749"/>
      <c r="D92" s="1749"/>
      <c r="E92" s="2143"/>
      <c r="F92" s="2145"/>
      <c r="G92" s="505" t="s">
        <v>779</v>
      </c>
      <c r="H92" s="506" t="s">
        <v>765</v>
      </c>
      <c r="I92" s="506" t="s">
        <v>779</v>
      </c>
      <c r="J92" s="506" t="s">
        <v>765</v>
      </c>
      <c r="K92" s="506" t="s">
        <v>779</v>
      </c>
      <c r="L92" s="507" t="s">
        <v>765</v>
      </c>
      <c r="M92" s="502"/>
      <c r="N92" s="503"/>
      <c r="O92" s="503"/>
      <c r="P92" s="503"/>
      <c r="Q92" s="504"/>
    </row>
    <row r="93" spans="2:17" ht="17" thickBot="1">
      <c r="B93" s="1745"/>
      <c r="C93" s="1750"/>
      <c r="D93" s="1750"/>
      <c r="E93" s="911" t="s">
        <v>1150</v>
      </c>
      <c r="F93" s="443" t="s">
        <v>780</v>
      </c>
      <c r="G93" s="1048" t="s">
        <v>1151</v>
      </c>
      <c r="H93" s="1034" t="s">
        <v>77</v>
      </c>
      <c r="I93" s="1034" t="s">
        <v>1151</v>
      </c>
      <c r="J93" s="1034" t="s">
        <v>77</v>
      </c>
      <c r="K93" s="1034" t="s">
        <v>1151</v>
      </c>
      <c r="L93" s="443" t="s">
        <v>77</v>
      </c>
      <c r="M93" s="502"/>
      <c r="N93" s="503"/>
      <c r="O93" s="503"/>
      <c r="P93" s="503"/>
      <c r="Q93" s="504"/>
    </row>
    <row r="94" spans="2:17" ht="14.25" customHeight="1">
      <c r="B94" s="1568" t="s">
        <v>781</v>
      </c>
      <c r="C94" s="1753" t="s">
        <v>668</v>
      </c>
      <c r="D94" s="1037" t="s">
        <v>660</v>
      </c>
      <c r="E94" s="508">
        <f>E54</f>
        <v>0</v>
      </c>
      <c r="F94" s="509">
        <f>入力!H140</f>
        <v>0.876</v>
      </c>
      <c r="G94" s="510">
        <f t="shared" ref="G94:G101" si="28">G54</f>
        <v>39.06</v>
      </c>
      <c r="H94" s="511">
        <f>G94*F94*E94</f>
        <v>0</v>
      </c>
      <c r="I94" s="512">
        <f t="shared" ref="I94:I101" si="29">I54</f>
        <v>39.99</v>
      </c>
      <c r="J94" s="511">
        <f>I94*F94*E94</f>
        <v>0</v>
      </c>
      <c r="K94" s="512">
        <f t="shared" ref="K94:K101" si="30">K54</f>
        <v>37.200000000000003</v>
      </c>
      <c r="L94" s="513">
        <f>K94*F94*E94</f>
        <v>0</v>
      </c>
      <c r="M94" s="502"/>
      <c r="N94" s="503"/>
      <c r="O94" s="503"/>
      <c r="P94" s="503"/>
      <c r="Q94" s="504"/>
    </row>
    <row r="95" spans="2:17">
      <c r="B95" s="1569"/>
      <c r="C95" s="1754"/>
      <c r="D95" s="1031" t="s">
        <v>661</v>
      </c>
      <c r="E95" s="414">
        <f t="shared" ref="E95:E101" si="31">E55</f>
        <v>0</v>
      </c>
      <c r="F95" s="514">
        <f>入力!H141</f>
        <v>0.876</v>
      </c>
      <c r="G95" s="536">
        <f t="shared" si="28"/>
        <v>227.85000000000002</v>
      </c>
      <c r="H95" s="469">
        <f t="shared" ref="H95:H96" si="32">G95*F95*E95</f>
        <v>0</v>
      </c>
      <c r="I95" s="537">
        <f t="shared" si="29"/>
        <v>39.99</v>
      </c>
      <c r="J95" s="469">
        <f t="shared" ref="J95:J101" si="33">I95*F95*E95</f>
        <v>0</v>
      </c>
      <c r="K95" s="537">
        <f t="shared" si="30"/>
        <v>37.200000000000003</v>
      </c>
      <c r="L95" s="472">
        <f t="shared" ref="L95:L101" si="34">K95*F95*E95</f>
        <v>0</v>
      </c>
      <c r="M95" s="502"/>
      <c r="N95" s="503"/>
      <c r="O95" s="503"/>
      <c r="P95" s="503"/>
      <c r="Q95" s="504"/>
    </row>
    <row r="96" spans="2:17">
      <c r="B96" s="1569"/>
      <c r="C96" s="1754"/>
      <c r="D96" s="1031" t="s">
        <v>662</v>
      </c>
      <c r="E96" s="414">
        <f t="shared" si="31"/>
        <v>0</v>
      </c>
      <c r="F96" s="514">
        <f>入力!H142</f>
        <v>0.876</v>
      </c>
      <c r="G96" s="536">
        <f t="shared" si="28"/>
        <v>456.63000000000005</v>
      </c>
      <c r="H96" s="469">
        <f t="shared" si="32"/>
        <v>0</v>
      </c>
      <c r="I96" s="537">
        <f t="shared" si="29"/>
        <v>39.99</v>
      </c>
      <c r="J96" s="469">
        <f t="shared" si="33"/>
        <v>0</v>
      </c>
      <c r="K96" s="537">
        <f t="shared" si="30"/>
        <v>37.200000000000003</v>
      </c>
      <c r="L96" s="472">
        <f t="shared" si="34"/>
        <v>0</v>
      </c>
      <c r="M96" s="502"/>
      <c r="N96" s="503"/>
      <c r="O96" s="503"/>
      <c r="P96" s="503"/>
      <c r="Q96" s="504"/>
    </row>
    <row r="97" spans="2:18">
      <c r="B97" s="1569"/>
      <c r="C97" s="1754"/>
      <c r="D97" s="1031" t="s">
        <v>663</v>
      </c>
      <c r="E97" s="414">
        <f t="shared" si="31"/>
        <v>0</v>
      </c>
      <c r="F97" s="514">
        <f>入力!H143</f>
        <v>0.876</v>
      </c>
      <c r="G97" s="536">
        <f t="shared" si="28"/>
        <v>380.37</v>
      </c>
      <c r="H97" s="469">
        <f>G97*F97*E97</f>
        <v>0</v>
      </c>
      <c r="I97" s="537">
        <f t="shared" si="29"/>
        <v>86.490000000000009</v>
      </c>
      <c r="J97" s="469">
        <f t="shared" si="33"/>
        <v>0</v>
      </c>
      <c r="K97" s="537">
        <f t="shared" si="30"/>
        <v>37.200000000000003</v>
      </c>
      <c r="L97" s="472">
        <f t="shared" si="34"/>
        <v>0</v>
      </c>
      <c r="M97" s="502"/>
      <c r="N97" s="503"/>
      <c r="O97" s="503"/>
      <c r="P97" s="503"/>
      <c r="Q97" s="504"/>
    </row>
    <row r="98" spans="2:18">
      <c r="B98" s="1569"/>
      <c r="C98" s="1754"/>
      <c r="D98" s="1031" t="s">
        <v>664</v>
      </c>
      <c r="E98" s="414">
        <f t="shared" si="31"/>
        <v>0</v>
      </c>
      <c r="F98" s="514">
        <f>入力!H144</f>
        <v>0.876</v>
      </c>
      <c r="G98" s="536">
        <f t="shared" si="28"/>
        <v>71.61</v>
      </c>
      <c r="H98" s="469">
        <f t="shared" ref="H98:H101" si="35">G98*F98*E98</f>
        <v>0</v>
      </c>
      <c r="I98" s="537">
        <f t="shared" si="29"/>
        <v>167.4</v>
      </c>
      <c r="J98" s="469">
        <f t="shared" si="33"/>
        <v>0</v>
      </c>
      <c r="K98" s="537">
        <f t="shared" si="30"/>
        <v>52.080000000000005</v>
      </c>
      <c r="L98" s="472">
        <f t="shared" si="34"/>
        <v>0</v>
      </c>
      <c r="M98" s="502"/>
      <c r="N98" s="503"/>
      <c r="O98" s="503"/>
      <c r="P98" s="503"/>
      <c r="Q98" s="504"/>
    </row>
    <row r="99" spans="2:18">
      <c r="B99" s="1569"/>
      <c r="C99" s="1754"/>
      <c r="D99" s="1031" t="s">
        <v>665</v>
      </c>
      <c r="E99" s="414">
        <f t="shared" si="31"/>
        <v>0</v>
      </c>
      <c r="F99" s="514">
        <f>入力!H145</f>
        <v>0.876</v>
      </c>
      <c r="G99" s="536">
        <f t="shared" si="28"/>
        <v>39.06</v>
      </c>
      <c r="H99" s="469">
        <f t="shared" si="35"/>
        <v>0</v>
      </c>
      <c r="I99" s="537">
        <f t="shared" si="29"/>
        <v>136.71</v>
      </c>
      <c r="J99" s="469">
        <f t="shared" si="33"/>
        <v>0</v>
      </c>
      <c r="K99" s="537">
        <f t="shared" si="30"/>
        <v>390.6</v>
      </c>
      <c r="L99" s="472">
        <f t="shared" si="34"/>
        <v>0</v>
      </c>
      <c r="M99" s="502"/>
      <c r="N99" s="503"/>
      <c r="O99" s="503"/>
      <c r="P99" s="503"/>
      <c r="Q99" s="504"/>
    </row>
    <row r="100" spans="2:18">
      <c r="B100" s="1569"/>
      <c r="C100" s="1754"/>
      <c r="D100" s="1031" t="s">
        <v>666</v>
      </c>
      <c r="E100" s="414">
        <f t="shared" si="31"/>
        <v>0</v>
      </c>
      <c r="F100" s="514">
        <f>入力!H146</f>
        <v>0.876</v>
      </c>
      <c r="G100" s="536">
        <f t="shared" si="28"/>
        <v>39.06</v>
      </c>
      <c r="H100" s="469">
        <f t="shared" si="35"/>
        <v>0</v>
      </c>
      <c r="I100" s="537">
        <f t="shared" si="29"/>
        <v>46.5</v>
      </c>
      <c r="J100" s="469">
        <f t="shared" si="33"/>
        <v>0</v>
      </c>
      <c r="K100" s="537">
        <f t="shared" si="30"/>
        <v>504.99</v>
      </c>
      <c r="L100" s="472">
        <f t="shared" si="34"/>
        <v>0</v>
      </c>
      <c r="M100" s="502"/>
      <c r="N100" s="503"/>
      <c r="O100" s="503"/>
      <c r="P100" s="503"/>
      <c r="Q100" s="504"/>
    </row>
    <row r="101" spans="2:18" ht="14.5" thickBot="1">
      <c r="B101" s="1569"/>
      <c r="C101" s="1755"/>
      <c r="D101" s="1034" t="s">
        <v>667</v>
      </c>
      <c r="E101" s="1059">
        <f t="shared" si="31"/>
        <v>0</v>
      </c>
      <c r="F101" s="1056">
        <f>入力!H147</f>
        <v>0.876</v>
      </c>
      <c r="G101" s="538">
        <f t="shared" si="28"/>
        <v>39.06</v>
      </c>
      <c r="H101" s="489">
        <f t="shared" si="35"/>
        <v>0</v>
      </c>
      <c r="I101" s="538">
        <f t="shared" si="29"/>
        <v>39.99</v>
      </c>
      <c r="J101" s="489">
        <f t="shared" si="33"/>
        <v>0</v>
      </c>
      <c r="K101" s="538">
        <f t="shared" si="30"/>
        <v>292.95</v>
      </c>
      <c r="L101" s="484">
        <f t="shared" si="34"/>
        <v>0</v>
      </c>
      <c r="M101" s="502"/>
      <c r="N101" s="503"/>
      <c r="O101" s="503"/>
      <c r="P101" s="503"/>
      <c r="Q101" s="504"/>
    </row>
    <row r="102" spans="2:18" ht="14.5" thickBot="1">
      <c r="B102" s="1570"/>
      <c r="C102" s="1566" t="s">
        <v>868</v>
      </c>
      <c r="D102" s="1566"/>
      <c r="E102" s="1566"/>
      <c r="F102" s="1567"/>
      <c r="G102" s="709"/>
      <c r="H102" s="515">
        <f>SUM(H94:H101)</f>
        <v>0</v>
      </c>
      <c r="I102" s="1062"/>
      <c r="J102" s="515">
        <f>SUM(J94:J101)</f>
        <v>0</v>
      </c>
      <c r="K102" s="1062"/>
      <c r="L102" s="515">
        <f>SUM(L94:L101)</f>
        <v>0</v>
      </c>
      <c r="M102" s="516"/>
      <c r="N102" s="498"/>
      <c r="O102" s="498"/>
      <c r="P102" s="498"/>
      <c r="Q102" s="517"/>
    </row>
    <row r="103" spans="2:18" ht="14.5" thickBot="1">
      <c r="B103" s="1756" t="s">
        <v>782</v>
      </c>
      <c r="C103" s="1757"/>
      <c r="D103" s="1757"/>
      <c r="E103" s="1758"/>
      <c r="F103" s="497"/>
      <c r="G103" s="496"/>
      <c r="H103" s="518">
        <f>H102+H89</f>
        <v>0</v>
      </c>
      <c r="I103" s="497"/>
      <c r="J103" s="518">
        <f>J102+J89</f>
        <v>0</v>
      </c>
      <c r="K103" s="497"/>
      <c r="L103" s="518">
        <f>L102+L89</f>
        <v>0</v>
      </c>
      <c r="M103" s="497"/>
      <c r="N103" s="497"/>
      <c r="O103" s="497"/>
      <c r="P103" s="497"/>
      <c r="Q103" s="458">
        <f>Q89</f>
        <v>0</v>
      </c>
    </row>
    <row r="105" spans="2:18" hidden="1"/>
    <row r="106" spans="2:18" ht="18.5" thickBot="1">
      <c r="B106" s="1773" t="s">
        <v>784</v>
      </c>
      <c r="C106" s="1773"/>
      <c r="D106" s="1773"/>
      <c r="E106" s="1773"/>
      <c r="F106" s="1773"/>
      <c r="G106" s="1773"/>
      <c r="H106" s="1773"/>
      <c r="I106" s="1773"/>
      <c r="J106" s="1773"/>
      <c r="K106" s="1773"/>
      <c r="L106" s="1773"/>
      <c r="M106" s="1773"/>
      <c r="N106" s="1773"/>
      <c r="O106" s="1773"/>
      <c r="P106" s="1773"/>
      <c r="Q106" s="1773"/>
    </row>
    <row r="107" spans="2:18" ht="13.5" customHeight="1">
      <c r="B107" s="1778" t="s">
        <v>718</v>
      </c>
      <c r="C107" s="1784"/>
      <c r="D107" s="1784"/>
      <c r="E107" s="1784"/>
      <c r="F107" s="1785"/>
      <c r="G107" s="1830" t="s">
        <v>785</v>
      </c>
      <c r="H107" s="1816"/>
      <c r="I107" s="1816"/>
      <c r="J107" s="1816"/>
      <c r="K107" s="1816"/>
      <c r="L107" s="1818"/>
      <c r="M107" s="1778" t="s">
        <v>786</v>
      </c>
      <c r="N107" s="1779"/>
      <c r="O107" s="1779"/>
      <c r="P107" s="1779"/>
      <c r="Q107" s="1780"/>
    </row>
    <row r="108" spans="2:18" ht="13.5" customHeight="1" thickBot="1">
      <c r="B108" s="1781"/>
      <c r="C108" s="1786"/>
      <c r="D108" s="1786"/>
      <c r="E108" s="1786"/>
      <c r="F108" s="1776"/>
      <c r="G108" s="1774" t="s">
        <v>787</v>
      </c>
      <c r="H108" s="1775"/>
      <c r="I108" s="1776" t="s">
        <v>788</v>
      </c>
      <c r="J108" s="1775"/>
      <c r="K108" s="1776" t="s">
        <v>789</v>
      </c>
      <c r="L108" s="1777"/>
      <c r="M108" s="1781"/>
      <c r="N108" s="1782"/>
      <c r="O108" s="1782"/>
      <c r="P108" s="1782"/>
      <c r="Q108" s="1783"/>
    </row>
    <row r="109" spans="2:18" ht="13.5" customHeight="1">
      <c r="B109" s="1827" t="s">
        <v>790</v>
      </c>
      <c r="C109" s="1828"/>
      <c r="D109" s="1828"/>
      <c r="E109" s="1828"/>
      <c r="F109" s="1829"/>
      <c r="G109" s="1771">
        <f>H63</f>
        <v>0</v>
      </c>
      <c r="H109" s="1769"/>
      <c r="I109" s="1768">
        <f>J63</f>
        <v>0</v>
      </c>
      <c r="J109" s="1769"/>
      <c r="K109" s="1768">
        <f>L63</f>
        <v>0</v>
      </c>
      <c r="L109" s="1770"/>
      <c r="M109" s="1771">
        <f>Q63</f>
        <v>0</v>
      </c>
      <c r="N109" s="1772"/>
      <c r="O109" s="1772"/>
      <c r="P109" s="1772"/>
      <c r="Q109" s="1770"/>
      <c r="R109" s="539"/>
    </row>
    <row r="110" spans="2:18" ht="13.5" customHeight="1" thickBot="1">
      <c r="B110" s="1823" t="s">
        <v>791</v>
      </c>
      <c r="C110" s="1824"/>
      <c r="D110" s="1824"/>
      <c r="E110" s="1824"/>
      <c r="F110" s="1825"/>
      <c r="G110" s="1813">
        <f>H103</f>
        <v>0</v>
      </c>
      <c r="H110" s="1826"/>
      <c r="I110" s="1811">
        <f>J103</f>
        <v>0</v>
      </c>
      <c r="J110" s="1826"/>
      <c r="K110" s="1811">
        <f>L103</f>
        <v>0</v>
      </c>
      <c r="L110" s="1812"/>
      <c r="M110" s="1813">
        <f>Q103</f>
        <v>0</v>
      </c>
      <c r="N110" s="1814"/>
      <c r="O110" s="1814"/>
      <c r="P110" s="1814"/>
      <c r="Q110" s="1812"/>
    </row>
    <row r="111" spans="2:18" ht="13.5" customHeight="1" thickBot="1">
      <c r="B111" s="1820" t="s">
        <v>792</v>
      </c>
      <c r="C111" s="1821"/>
      <c r="D111" s="1821"/>
      <c r="E111" s="1821"/>
      <c r="F111" s="1822"/>
      <c r="G111" s="1815">
        <f>G109-G110</f>
        <v>0</v>
      </c>
      <c r="H111" s="1816"/>
      <c r="I111" s="1817">
        <f>I109-I110</f>
        <v>0</v>
      </c>
      <c r="J111" s="1816"/>
      <c r="K111" s="1817">
        <f>K109-K110</f>
        <v>0</v>
      </c>
      <c r="L111" s="1818"/>
      <c r="M111" s="1815">
        <f>M109-M110</f>
        <v>0</v>
      </c>
      <c r="N111" s="1819"/>
      <c r="O111" s="1819"/>
      <c r="P111" s="1819"/>
      <c r="Q111" s="1818"/>
    </row>
    <row r="112" spans="2:18" ht="13.5" customHeight="1" thickBot="1">
      <c r="B112" s="1804" t="s">
        <v>793</v>
      </c>
      <c r="C112" s="1805"/>
      <c r="D112" s="1805"/>
      <c r="E112" s="1805"/>
      <c r="F112" s="1806"/>
      <c r="G112" s="540"/>
      <c r="H112" s="1042"/>
      <c r="I112" s="1808">
        <f>I125+I146+I156+I166</f>
        <v>0</v>
      </c>
      <c r="J112" s="1810"/>
      <c r="K112" s="1042"/>
      <c r="L112" s="1041"/>
      <c r="M112" s="1807">
        <f>M111</f>
        <v>0</v>
      </c>
      <c r="N112" s="1808"/>
      <c r="O112" s="1808"/>
      <c r="P112" s="1808"/>
      <c r="Q112" s="1809"/>
    </row>
    <row r="113" spans="2:27" ht="17.25" customHeight="1">
      <c r="I113" s="1047">
        <f>I126+I147+I157+I167</f>
        <v>0</v>
      </c>
      <c r="J113" s="541"/>
      <c r="K113" s="541"/>
      <c r="L113" s="541"/>
      <c r="M113" s="541"/>
      <c r="N113" s="541"/>
      <c r="O113" s="541"/>
      <c r="P113" s="541"/>
      <c r="Q113" s="1047">
        <f>M109</f>
        <v>0</v>
      </c>
    </row>
    <row r="114" spans="2:27" s="542" customFormat="1" ht="17.25" customHeight="1">
      <c r="I114" s="422">
        <f>I127+I148+I158+I168</f>
        <v>0</v>
      </c>
      <c r="J114" s="543"/>
      <c r="K114" s="543"/>
      <c r="L114" s="543"/>
      <c r="M114" s="543"/>
      <c r="N114" s="543"/>
      <c r="O114" s="543"/>
      <c r="P114" s="543"/>
      <c r="Q114" s="422">
        <f>M110</f>
        <v>0</v>
      </c>
    </row>
    <row r="115" spans="2:27" s="542" customFormat="1" ht="17.25" customHeight="1" thickBot="1">
      <c r="I115" s="544"/>
      <c r="J115" s="543"/>
      <c r="K115" s="543"/>
      <c r="L115" s="543"/>
      <c r="M115" s="543"/>
      <c r="N115" s="543"/>
      <c r="O115" s="543"/>
      <c r="P115" s="543"/>
      <c r="Q115" s="544"/>
      <c r="S115" s="1654" t="s">
        <v>826</v>
      </c>
      <c r="T115" s="1655"/>
      <c r="U115" s="1655"/>
      <c r="V115" s="1656"/>
      <c r="W115" s="582" t="s">
        <v>823</v>
      </c>
      <c r="X115" s="582" t="s">
        <v>824</v>
      </c>
      <c r="Y115" s="582" t="s">
        <v>870</v>
      </c>
      <c r="Z115" s="706" t="s">
        <v>871</v>
      </c>
      <c r="AA115" s="707" t="s">
        <v>876</v>
      </c>
    </row>
    <row r="116" spans="2:27" s="542" customFormat="1" ht="20.25" customHeight="1">
      <c r="B116" s="1865" t="s">
        <v>794</v>
      </c>
      <c r="C116" s="1866"/>
      <c r="D116" s="1866"/>
      <c r="E116" s="1867"/>
      <c r="F116" s="2140">
        <f>IF(入力!D155=X6,入力!D161,IF(入力!E155=X6,入力!E161,入力!F161))</f>
        <v>0</v>
      </c>
      <c r="G116" s="545" t="s">
        <v>636</v>
      </c>
      <c r="H116" s="546"/>
      <c r="I116" s="543"/>
      <c r="S116" s="579" t="s">
        <v>794</v>
      </c>
      <c r="T116" s="562"/>
      <c r="U116" s="562"/>
      <c r="V116" s="564" t="s">
        <v>636</v>
      </c>
      <c r="W116" s="563">
        <f>INT(INDEX(入力!$D$171:$F$172,1,$X$7))</f>
        <v>0</v>
      </c>
      <c r="X116" s="563">
        <f>INT(INDEX(入力!$D$191:$F$192,1,$X$7))</f>
        <v>0</v>
      </c>
      <c r="Y116" s="563">
        <f>INT(INDEX(入力!$D$221:$F$222,1,$X$7))</f>
        <v>0</v>
      </c>
      <c r="Z116" s="563">
        <f>INT(INDEX(入力!$D$211:$F$212,1,$X$7))</f>
        <v>0</v>
      </c>
      <c r="AA116" s="708">
        <f>SUBTOTAL(9,W116:Z116)</f>
        <v>0</v>
      </c>
    </row>
    <row r="117" spans="2:27" s="542" customFormat="1" ht="20.25" customHeight="1" thickBot="1">
      <c r="B117" s="1831" t="s">
        <v>795</v>
      </c>
      <c r="C117" s="1832"/>
      <c r="D117" s="1832"/>
      <c r="E117" s="1833"/>
      <c r="F117" s="2141">
        <f>IF(入力!D155=X6,入力!D162,IF(入力!E155=X6,入力!E162,入力!F162))</f>
        <v>0</v>
      </c>
      <c r="G117" s="547" t="s">
        <v>636</v>
      </c>
      <c r="H117" s="546"/>
      <c r="I117" s="543"/>
      <c r="S117" s="579" t="s">
        <v>795</v>
      </c>
      <c r="T117" s="577"/>
      <c r="U117" s="577"/>
      <c r="V117" s="1044" t="s">
        <v>636</v>
      </c>
      <c r="W117" s="578">
        <f>INT(INDEX(入力!$D$171:$F$172,2,$X$7))</f>
        <v>0</v>
      </c>
      <c r="X117" s="578">
        <f>INT(INDEX(入力!$D$191:$F$192,2,$X$7))</f>
        <v>0</v>
      </c>
      <c r="Y117" s="578">
        <f>INT(INDEX(入力!$D$221:$F$222,2,$X$7))</f>
        <v>0</v>
      </c>
      <c r="Z117" s="578">
        <f>INT(INDEX(入力!$D$211:$F$212,2,$X$7))</f>
        <v>0</v>
      </c>
      <c r="AA117" s="708">
        <f t="shared" ref="AA117:AA119" si="36">SUBTOTAL(9,W117:Z117)</f>
        <v>0</v>
      </c>
    </row>
    <row r="118" spans="2:27" s="542" customFormat="1" ht="20.25" hidden="1" customHeight="1">
      <c r="B118" s="556"/>
      <c r="C118" s="556"/>
      <c r="D118" s="556"/>
      <c r="E118" s="556"/>
      <c r="F118" s="557"/>
      <c r="G118" s="543"/>
      <c r="H118" s="546"/>
      <c r="I118" s="543"/>
      <c r="S118" s="579" t="s">
        <v>829</v>
      </c>
      <c r="T118" s="580"/>
      <c r="U118" s="580"/>
      <c r="V118" s="564" t="s">
        <v>830</v>
      </c>
      <c r="W118" s="581">
        <f>ROUND(INDEX(入力!$D$169:$F$170,1,$X$7),1)</f>
        <v>0</v>
      </c>
      <c r="X118" s="581">
        <f>ROUND(INDEX(入力!$D$189:$F$190,1,$X$7),1)</f>
        <v>0</v>
      </c>
      <c r="Y118" s="471">
        <f>ROUND(INDEX(入力!$D$219:$F$220,1,$X$7),1)</f>
        <v>0</v>
      </c>
      <c r="Z118" s="581">
        <f>ROUND(INDEX(入力!$D$209:$F$210,1,$X$7),1)</f>
        <v>0</v>
      </c>
      <c r="AA118" s="708">
        <f t="shared" si="36"/>
        <v>0</v>
      </c>
    </row>
    <row r="119" spans="2:27" s="542" customFormat="1" ht="25.5" hidden="1" thickBot="1">
      <c r="H119" s="566" t="s">
        <v>1367</v>
      </c>
      <c r="S119" s="579" t="s">
        <v>828</v>
      </c>
      <c r="T119" s="580"/>
      <c r="U119" s="580"/>
      <c r="V119" s="564" t="s">
        <v>830</v>
      </c>
      <c r="W119" s="581">
        <f>ROUND(INDEX(入力!$D$169:$F$170,2,$X$7),1)</f>
        <v>0</v>
      </c>
      <c r="X119" s="581">
        <f>ROUND(INDEX(入力!$D$189:$F$190,2,$X$7),1)</f>
        <v>0</v>
      </c>
      <c r="Y119" s="471">
        <f>ROUND(INDEX(入力!$D$219:$F$220,2,$X$7),1)</f>
        <v>0</v>
      </c>
      <c r="Z119" s="581">
        <f>ROUND(INDEX(入力!$D$209:$F$210,2,$X$7),1)</f>
        <v>0</v>
      </c>
      <c r="AA119" s="708">
        <f t="shared" si="36"/>
        <v>0</v>
      </c>
    </row>
    <row r="120" spans="2:27" s="542" customFormat="1" hidden="1">
      <c r="B120" s="1592" t="s">
        <v>718</v>
      </c>
      <c r="C120" s="1593"/>
      <c r="D120" s="1593"/>
      <c r="E120" s="1593"/>
      <c r="F120" s="1594"/>
      <c r="G120" s="1598" t="s">
        <v>785</v>
      </c>
      <c r="H120" s="1588"/>
      <c r="I120" s="1588"/>
      <c r="J120" s="1588"/>
      <c r="K120" s="1588"/>
      <c r="L120" s="1590"/>
      <c r="M120" s="1592" t="s">
        <v>786</v>
      </c>
      <c r="N120" s="1599"/>
      <c r="O120" s="1599"/>
      <c r="P120" s="1599"/>
      <c r="Q120" s="1600"/>
    </row>
    <row r="121" spans="2:27" s="542" customFormat="1" ht="14.5" hidden="1" thickBot="1">
      <c r="B121" s="1595"/>
      <c r="C121" s="1596"/>
      <c r="D121" s="1596"/>
      <c r="E121" s="1596"/>
      <c r="F121" s="1597"/>
      <c r="G121" s="1603" t="s">
        <v>787</v>
      </c>
      <c r="H121" s="1604"/>
      <c r="I121" s="1597" t="s">
        <v>788</v>
      </c>
      <c r="J121" s="1604"/>
      <c r="K121" s="1597" t="s">
        <v>789</v>
      </c>
      <c r="L121" s="1605"/>
      <c r="M121" s="1595"/>
      <c r="N121" s="1601"/>
      <c r="O121" s="1601"/>
      <c r="P121" s="1601"/>
      <c r="Q121" s="1602"/>
    </row>
    <row r="122" spans="2:27" s="542" customFormat="1" hidden="1">
      <c r="B122" s="1606" t="s">
        <v>816</v>
      </c>
      <c r="C122" s="1607"/>
      <c r="D122" s="1607"/>
      <c r="E122" s="1607"/>
      <c r="F122" s="1608"/>
      <c r="G122" s="1729">
        <f>H30</f>
        <v>0</v>
      </c>
      <c r="H122" s="1612"/>
      <c r="I122" s="1733">
        <f>J30</f>
        <v>0</v>
      </c>
      <c r="J122" s="1734"/>
      <c r="K122" s="1613">
        <f>L30</f>
        <v>0</v>
      </c>
      <c r="L122" s="1614"/>
      <c r="M122" s="1609">
        <f>Q30</f>
        <v>0</v>
      </c>
      <c r="N122" s="1615"/>
      <c r="O122" s="1615"/>
      <c r="P122" s="1615"/>
      <c r="Q122" s="1616"/>
    </row>
    <row r="123" spans="2:27" s="542" customFormat="1" ht="14.5" hidden="1" thickBot="1">
      <c r="B123" s="1573" t="s">
        <v>817</v>
      </c>
      <c r="C123" s="1574"/>
      <c r="D123" s="1574"/>
      <c r="E123" s="1574"/>
      <c r="F123" s="1575"/>
      <c r="G123" s="1730">
        <f>H70</f>
        <v>0</v>
      </c>
      <c r="H123" s="1579"/>
      <c r="I123" s="1731">
        <f>J70</f>
        <v>0</v>
      </c>
      <c r="J123" s="1732"/>
      <c r="K123" s="1580">
        <f>L70</f>
        <v>0</v>
      </c>
      <c r="L123" s="1581"/>
      <c r="M123" s="1576">
        <f>Q70</f>
        <v>0</v>
      </c>
      <c r="N123" s="1582"/>
      <c r="O123" s="1582"/>
      <c r="P123" s="1582"/>
      <c r="Q123" s="1583"/>
    </row>
    <row r="124" spans="2:27" ht="14.5" hidden="1" thickBot="1">
      <c r="B124" s="1584" t="s">
        <v>792</v>
      </c>
      <c r="C124" s="1585"/>
      <c r="D124" s="1585"/>
      <c r="E124" s="1585"/>
      <c r="F124" s="1586"/>
      <c r="G124" s="1587">
        <f>G122-G123</f>
        <v>0</v>
      </c>
      <c r="H124" s="1588"/>
      <c r="I124" s="1589">
        <f>I122-I123</f>
        <v>0</v>
      </c>
      <c r="J124" s="1588"/>
      <c r="K124" s="1589">
        <f>K122-K123</f>
        <v>0</v>
      </c>
      <c r="L124" s="1590"/>
      <c r="M124" s="1587">
        <f>M122-M123</f>
        <v>0</v>
      </c>
      <c r="N124" s="1591"/>
      <c r="O124" s="1591"/>
      <c r="P124" s="1591"/>
      <c r="Q124" s="1590"/>
    </row>
    <row r="125" spans="2:27" ht="14.5" hidden="1" thickBot="1">
      <c r="B125" s="1559" t="s">
        <v>793</v>
      </c>
      <c r="C125" s="1560"/>
      <c r="D125" s="1560"/>
      <c r="E125" s="1560"/>
      <c r="F125" s="1561"/>
      <c r="G125" s="565"/>
      <c r="H125" s="1029"/>
      <c r="I125" s="1562">
        <f>MAX(G124:L124)</f>
        <v>0</v>
      </c>
      <c r="J125" s="1563"/>
      <c r="K125" s="1029"/>
      <c r="L125" s="1030"/>
      <c r="M125" s="1564">
        <f>M124</f>
        <v>0</v>
      </c>
      <c r="N125" s="1562"/>
      <c r="O125" s="1562"/>
      <c r="P125" s="1562"/>
      <c r="Q125" s="1565"/>
    </row>
    <row r="126" spans="2:27" hidden="1">
      <c r="B126" s="543"/>
      <c r="C126" s="543"/>
      <c r="D126" s="543"/>
      <c r="E126" s="543"/>
      <c r="F126" s="543"/>
      <c r="G126" s="541"/>
      <c r="H126" s="541"/>
      <c r="I126" s="1047">
        <f>MAX(G122:L122)</f>
        <v>0</v>
      </c>
      <c r="J126" s="541"/>
      <c r="K126" s="541"/>
      <c r="L126" s="541"/>
      <c r="M126" s="541"/>
      <c r="N126" s="541"/>
      <c r="O126" s="541"/>
      <c r="P126" s="541"/>
      <c r="Q126" s="1047">
        <f>M122</f>
        <v>0</v>
      </c>
    </row>
    <row r="127" spans="2:27" hidden="1">
      <c r="B127" s="543"/>
      <c r="C127" s="543"/>
      <c r="D127" s="543"/>
      <c r="E127" s="543"/>
      <c r="F127" s="543"/>
      <c r="G127" s="541"/>
      <c r="H127" s="541"/>
      <c r="I127" s="422">
        <f>MAX(G123:L123)</f>
        <v>0</v>
      </c>
      <c r="J127" s="543"/>
      <c r="K127" s="543"/>
      <c r="L127" s="543"/>
      <c r="M127" s="543"/>
      <c r="N127" s="543"/>
      <c r="O127" s="543"/>
      <c r="P127" s="543"/>
      <c r="Q127" s="422">
        <f>M123</f>
        <v>0</v>
      </c>
    </row>
    <row r="128" spans="2:27" hidden="1"/>
    <row r="129" spans="2:17" ht="25.5" hidden="1" thickBot="1">
      <c r="B129" s="542"/>
      <c r="C129" s="542"/>
      <c r="D129" s="542"/>
      <c r="E129" s="542"/>
      <c r="F129" s="542"/>
      <c r="G129" s="542"/>
      <c r="H129" s="566" t="s">
        <v>1368</v>
      </c>
      <c r="I129" s="542"/>
      <c r="J129" s="542"/>
      <c r="K129" s="542"/>
      <c r="L129" s="542"/>
      <c r="M129" s="542"/>
      <c r="N129" s="542"/>
      <c r="O129" s="542"/>
      <c r="P129" s="542"/>
      <c r="Q129" s="542"/>
    </row>
    <row r="130" spans="2:17" hidden="1">
      <c r="B130" s="1592" t="s">
        <v>718</v>
      </c>
      <c r="C130" s="1593"/>
      <c r="D130" s="1593"/>
      <c r="E130" s="1593"/>
      <c r="F130" s="1594"/>
      <c r="G130" s="1598" t="s">
        <v>785</v>
      </c>
      <c r="H130" s="1588"/>
      <c r="I130" s="1588"/>
      <c r="J130" s="1588"/>
      <c r="K130" s="1588"/>
      <c r="L130" s="1590"/>
      <c r="M130" s="1592" t="s">
        <v>786</v>
      </c>
      <c r="N130" s="1599"/>
      <c r="O130" s="1599"/>
      <c r="P130" s="1599"/>
      <c r="Q130" s="1600"/>
    </row>
    <row r="131" spans="2:17" ht="14.5" hidden="1" thickBot="1">
      <c r="B131" s="1595"/>
      <c r="C131" s="1596"/>
      <c r="D131" s="1596"/>
      <c r="E131" s="1596"/>
      <c r="F131" s="1597"/>
      <c r="G131" s="1603" t="s">
        <v>787</v>
      </c>
      <c r="H131" s="1604"/>
      <c r="I131" s="1597" t="s">
        <v>788</v>
      </c>
      <c r="J131" s="1604"/>
      <c r="K131" s="1597" t="s">
        <v>789</v>
      </c>
      <c r="L131" s="1605"/>
      <c r="M131" s="1595"/>
      <c r="N131" s="1601"/>
      <c r="O131" s="1601"/>
      <c r="P131" s="1601"/>
      <c r="Q131" s="1602"/>
    </row>
    <row r="132" spans="2:17" hidden="1">
      <c r="B132" s="1606" t="s">
        <v>816</v>
      </c>
      <c r="C132" s="1607"/>
      <c r="D132" s="1607"/>
      <c r="E132" s="1607"/>
      <c r="F132" s="1608"/>
      <c r="G132" s="1729">
        <f>H30</f>
        <v>0</v>
      </c>
      <c r="H132" s="1612"/>
      <c r="I132" s="1733">
        <f>J30</f>
        <v>0</v>
      </c>
      <c r="J132" s="1734"/>
      <c r="K132" s="1613">
        <f>L30</f>
        <v>0</v>
      </c>
      <c r="L132" s="1614"/>
      <c r="M132" s="1609">
        <f>Q30</f>
        <v>0</v>
      </c>
      <c r="N132" s="1615"/>
      <c r="O132" s="1615"/>
      <c r="P132" s="1615"/>
      <c r="Q132" s="1616"/>
    </row>
    <row r="133" spans="2:17" ht="14.5" hidden="1" thickBot="1">
      <c r="B133" s="1573" t="s">
        <v>817</v>
      </c>
      <c r="C133" s="1574"/>
      <c r="D133" s="1574"/>
      <c r="E133" s="1574"/>
      <c r="F133" s="1575"/>
      <c r="G133" s="1730">
        <f>H70</f>
        <v>0</v>
      </c>
      <c r="H133" s="1579"/>
      <c r="I133" s="1731">
        <f>J70</f>
        <v>0</v>
      </c>
      <c r="J133" s="1732"/>
      <c r="K133" s="1580">
        <f>L70</f>
        <v>0</v>
      </c>
      <c r="L133" s="1581"/>
      <c r="M133" s="1576">
        <f>Q70</f>
        <v>0</v>
      </c>
      <c r="N133" s="1582"/>
      <c r="O133" s="1582"/>
      <c r="P133" s="1582"/>
      <c r="Q133" s="1583"/>
    </row>
    <row r="134" spans="2:17" ht="14.5" hidden="1" thickBot="1">
      <c r="B134" s="1584" t="s">
        <v>792</v>
      </c>
      <c r="C134" s="1585"/>
      <c r="D134" s="1585"/>
      <c r="E134" s="1585"/>
      <c r="F134" s="1586"/>
      <c r="G134" s="1587">
        <f>G132-G133</f>
        <v>0</v>
      </c>
      <c r="H134" s="1588"/>
      <c r="I134" s="1589">
        <f>I132-I133</f>
        <v>0</v>
      </c>
      <c r="J134" s="1588"/>
      <c r="K134" s="1589">
        <f>K132-K133</f>
        <v>0</v>
      </c>
      <c r="L134" s="1590"/>
      <c r="M134" s="1587">
        <f>M132-M133</f>
        <v>0</v>
      </c>
      <c r="N134" s="1591"/>
      <c r="O134" s="1591"/>
      <c r="P134" s="1591"/>
      <c r="Q134" s="1590"/>
    </row>
    <row r="135" spans="2:17" ht="14.5" hidden="1" thickBot="1">
      <c r="B135" s="1559" t="s">
        <v>793</v>
      </c>
      <c r="C135" s="1560"/>
      <c r="D135" s="1560"/>
      <c r="E135" s="1560"/>
      <c r="F135" s="1561"/>
      <c r="G135" s="565"/>
      <c r="H135" s="1029"/>
      <c r="I135" s="1562">
        <f>MAX(G134:L134)</f>
        <v>0</v>
      </c>
      <c r="J135" s="1563"/>
      <c r="K135" s="1029"/>
      <c r="L135" s="1030"/>
      <c r="M135" s="1564">
        <f>M134</f>
        <v>0</v>
      </c>
      <c r="N135" s="1562"/>
      <c r="O135" s="1562"/>
      <c r="P135" s="1562"/>
      <c r="Q135" s="1565"/>
    </row>
    <row r="136" spans="2:17" hidden="1">
      <c r="B136" s="543"/>
      <c r="C136" s="543"/>
      <c r="D136" s="543"/>
      <c r="E136" s="543"/>
      <c r="F136" s="543"/>
      <c r="G136" s="541"/>
      <c r="H136" s="541"/>
      <c r="I136" s="1047">
        <f>MAX(G132:L132)</f>
        <v>0</v>
      </c>
      <c r="J136" s="541"/>
      <c r="K136" s="541"/>
      <c r="L136" s="541"/>
      <c r="M136" s="541"/>
      <c r="N136" s="541"/>
      <c r="O136" s="541"/>
      <c r="P136" s="541"/>
      <c r="Q136" s="1047">
        <f>M132</f>
        <v>0</v>
      </c>
    </row>
    <row r="137" spans="2:17" hidden="1">
      <c r="B137" s="543"/>
      <c r="C137" s="543"/>
      <c r="D137" s="543"/>
      <c r="E137" s="543"/>
      <c r="F137" s="543"/>
      <c r="G137" s="541"/>
      <c r="H137" s="541"/>
      <c r="I137" s="422">
        <f>MAX(G133:L133)</f>
        <v>0</v>
      </c>
      <c r="J137" s="543"/>
      <c r="K137" s="543"/>
      <c r="L137" s="543"/>
      <c r="M137" s="543"/>
      <c r="N137" s="543"/>
      <c r="O137" s="543"/>
      <c r="P137" s="543"/>
      <c r="Q137" s="422">
        <f>M133</f>
        <v>0</v>
      </c>
    </row>
    <row r="138" spans="2:17" hidden="1"/>
    <row r="139" spans="2:17" hidden="1"/>
    <row r="140" spans="2:17" ht="25.5" hidden="1" thickBot="1">
      <c r="C140" s="542"/>
      <c r="D140" s="542"/>
      <c r="E140" s="542"/>
      <c r="F140" s="542"/>
      <c r="G140" s="542"/>
      <c r="H140" s="568" t="s">
        <v>822</v>
      </c>
      <c r="I140" s="542"/>
      <c r="J140" s="542"/>
      <c r="K140" s="542"/>
      <c r="L140" s="542"/>
      <c r="M140" s="542"/>
      <c r="N140" s="542"/>
      <c r="O140" s="542"/>
      <c r="P140" s="542"/>
      <c r="Q140" s="542"/>
    </row>
    <row r="141" spans="2:17" hidden="1">
      <c r="B141" s="1715" t="s">
        <v>718</v>
      </c>
      <c r="C141" s="1716"/>
      <c r="D141" s="1716"/>
      <c r="E141" s="1716"/>
      <c r="F141" s="1717"/>
      <c r="G141" s="1721" t="s">
        <v>785</v>
      </c>
      <c r="H141" s="1696"/>
      <c r="I141" s="1696"/>
      <c r="J141" s="1696"/>
      <c r="K141" s="1696"/>
      <c r="L141" s="1698"/>
      <c r="M141" s="1715" t="s">
        <v>786</v>
      </c>
      <c r="N141" s="1722"/>
      <c r="O141" s="1722"/>
      <c r="P141" s="1722"/>
      <c r="Q141" s="1723"/>
    </row>
    <row r="142" spans="2:17" ht="14.5" hidden="1" thickBot="1">
      <c r="B142" s="1718"/>
      <c r="C142" s="1719"/>
      <c r="D142" s="1719"/>
      <c r="E142" s="1719"/>
      <c r="F142" s="1720"/>
      <c r="G142" s="1726" t="s">
        <v>787</v>
      </c>
      <c r="H142" s="1727"/>
      <c r="I142" s="1720" t="s">
        <v>788</v>
      </c>
      <c r="J142" s="1727"/>
      <c r="K142" s="1720" t="s">
        <v>789</v>
      </c>
      <c r="L142" s="1728"/>
      <c r="M142" s="1718"/>
      <c r="N142" s="1724"/>
      <c r="O142" s="1724"/>
      <c r="P142" s="1724"/>
      <c r="Q142" s="1725"/>
    </row>
    <row r="143" spans="2:17" hidden="1">
      <c r="B143" s="1647" t="s">
        <v>818</v>
      </c>
      <c r="C143" s="1648"/>
      <c r="D143" s="1648"/>
      <c r="E143" s="1648"/>
      <c r="F143" s="1649"/>
      <c r="G143" s="1650">
        <f>H39</f>
        <v>0</v>
      </c>
      <c r="H143" s="1651"/>
      <c r="I143" s="1652">
        <f>J39</f>
        <v>0</v>
      </c>
      <c r="J143" s="1653"/>
      <c r="K143" s="1700">
        <f>L39</f>
        <v>0</v>
      </c>
      <c r="L143" s="1701"/>
      <c r="M143" s="1650">
        <f>Q39</f>
        <v>0</v>
      </c>
      <c r="N143" s="1702"/>
      <c r="O143" s="1702"/>
      <c r="P143" s="1702"/>
      <c r="Q143" s="1703"/>
    </row>
    <row r="144" spans="2:17" ht="14.5" hidden="1" thickBot="1">
      <c r="B144" s="1704" t="s">
        <v>819</v>
      </c>
      <c r="C144" s="1705"/>
      <c r="D144" s="1705"/>
      <c r="E144" s="1705"/>
      <c r="F144" s="1706"/>
      <c r="G144" s="1707">
        <f>H79</f>
        <v>0</v>
      </c>
      <c r="H144" s="1708"/>
      <c r="I144" s="1709">
        <f>J79</f>
        <v>0</v>
      </c>
      <c r="J144" s="1710"/>
      <c r="K144" s="1711">
        <f>L79</f>
        <v>0</v>
      </c>
      <c r="L144" s="1712"/>
      <c r="M144" s="1707">
        <f>Q79</f>
        <v>0</v>
      </c>
      <c r="N144" s="1713"/>
      <c r="O144" s="1713"/>
      <c r="P144" s="1713"/>
      <c r="Q144" s="1714"/>
    </row>
    <row r="145" spans="2:17" ht="14.5" hidden="1" thickBot="1">
      <c r="B145" s="1692" t="s">
        <v>792</v>
      </c>
      <c r="C145" s="1693"/>
      <c r="D145" s="1693"/>
      <c r="E145" s="1693"/>
      <c r="F145" s="1694"/>
      <c r="G145" s="1695">
        <f>G143-G144</f>
        <v>0</v>
      </c>
      <c r="H145" s="1696"/>
      <c r="I145" s="1697">
        <f>I143-I144</f>
        <v>0</v>
      </c>
      <c r="J145" s="1696"/>
      <c r="K145" s="1697">
        <f>K143-K144</f>
        <v>0</v>
      </c>
      <c r="L145" s="1698"/>
      <c r="M145" s="1695">
        <f>M143-M144</f>
        <v>0</v>
      </c>
      <c r="N145" s="1699"/>
      <c r="O145" s="1699"/>
      <c r="P145" s="1699"/>
      <c r="Q145" s="1698"/>
    </row>
    <row r="146" spans="2:17" ht="14.5" hidden="1" thickBot="1">
      <c r="B146" s="1624" t="s">
        <v>793</v>
      </c>
      <c r="C146" s="1625"/>
      <c r="D146" s="1625"/>
      <c r="E146" s="1625"/>
      <c r="F146" s="1626"/>
      <c r="G146" s="567"/>
      <c r="H146" s="1066"/>
      <c r="I146" s="1627">
        <f>MAX(G145:L145)</f>
        <v>0</v>
      </c>
      <c r="J146" s="1628"/>
      <c r="K146" s="1066"/>
      <c r="L146" s="1067"/>
      <c r="M146" s="1629">
        <f>M145</f>
        <v>0</v>
      </c>
      <c r="N146" s="1627"/>
      <c r="O146" s="1627"/>
      <c r="P146" s="1627"/>
      <c r="Q146" s="1630"/>
    </row>
    <row r="147" spans="2:17" hidden="1">
      <c r="B147" s="543"/>
      <c r="C147" s="543"/>
      <c r="D147" s="543"/>
      <c r="E147" s="543"/>
      <c r="F147" s="543"/>
      <c r="G147" s="541"/>
      <c r="H147" s="541"/>
      <c r="I147" s="1047">
        <f>MAX(G143:L143)</f>
        <v>0</v>
      </c>
      <c r="J147" s="541"/>
      <c r="K147" s="541"/>
      <c r="L147" s="541"/>
      <c r="M147" s="541"/>
      <c r="N147" s="541"/>
      <c r="O147" s="541"/>
      <c r="P147" s="541"/>
      <c r="Q147" s="1047">
        <f>M143</f>
        <v>0</v>
      </c>
    </row>
    <row r="148" spans="2:17" hidden="1">
      <c r="B148" s="543"/>
      <c r="C148" s="543"/>
      <c r="D148" s="543"/>
      <c r="E148" s="543"/>
      <c r="F148" s="543"/>
      <c r="G148" s="541"/>
      <c r="H148" s="541"/>
      <c r="I148" s="422">
        <f>MAX(G144:L144)</f>
        <v>0</v>
      </c>
      <c r="J148" s="543"/>
      <c r="K148" s="543"/>
      <c r="L148" s="543"/>
      <c r="M148" s="543"/>
      <c r="N148" s="543"/>
      <c r="O148" s="543"/>
      <c r="P148" s="543"/>
      <c r="Q148" s="422">
        <f>M144</f>
        <v>0</v>
      </c>
    </row>
    <row r="149" spans="2:17" hidden="1"/>
    <row r="150" spans="2:17" ht="25.5" hidden="1" thickBot="1">
      <c r="C150" s="542"/>
      <c r="D150" s="542"/>
      <c r="E150" s="542"/>
      <c r="F150" s="542"/>
      <c r="G150" s="542"/>
      <c r="H150" s="569" t="s">
        <v>873</v>
      </c>
      <c r="I150" s="542"/>
      <c r="J150" s="542"/>
      <c r="K150" s="542"/>
      <c r="L150" s="542"/>
      <c r="M150" s="542"/>
      <c r="N150" s="542"/>
      <c r="O150" s="542"/>
      <c r="P150" s="542"/>
      <c r="Q150" s="542"/>
    </row>
    <row r="151" spans="2:17" hidden="1">
      <c r="B151" s="1631" t="s">
        <v>718</v>
      </c>
      <c r="C151" s="1632"/>
      <c r="D151" s="1632"/>
      <c r="E151" s="1632"/>
      <c r="F151" s="1633"/>
      <c r="G151" s="1637" t="s">
        <v>785</v>
      </c>
      <c r="H151" s="1638"/>
      <c r="I151" s="1638"/>
      <c r="J151" s="1638"/>
      <c r="K151" s="1638"/>
      <c r="L151" s="1639"/>
      <c r="M151" s="1631" t="s">
        <v>786</v>
      </c>
      <c r="N151" s="1640"/>
      <c r="O151" s="1640"/>
      <c r="P151" s="1640"/>
      <c r="Q151" s="1641"/>
    </row>
    <row r="152" spans="2:17" ht="14.5" hidden="1" thickBot="1">
      <c r="B152" s="1634"/>
      <c r="C152" s="1635"/>
      <c r="D152" s="1635"/>
      <c r="E152" s="1635"/>
      <c r="F152" s="1636"/>
      <c r="G152" s="1644" t="s">
        <v>787</v>
      </c>
      <c r="H152" s="1645"/>
      <c r="I152" s="1636" t="s">
        <v>788</v>
      </c>
      <c r="J152" s="1645"/>
      <c r="K152" s="1636" t="s">
        <v>789</v>
      </c>
      <c r="L152" s="1646"/>
      <c r="M152" s="1634"/>
      <c r="N152" s="1642"/>
      <c r="O152" s="1642"/>
      <c r="P152" s="1642"/>
      <c r="Q152" s="1643"/>
    </row>
    <row r="153" spans="2:17" hidden="1">
      <c r="B153" s="1670" t="s">
        <v>820</v>
      </c>
      <c r="C153" s="1671"/>
      <c r="D153" s="1671"/>
      <c r="E153" s="1671"/>
      <c r="F153" s="1672"/>
      <c r="G153" s="1673">
        <f>H48</f>
        <v>0</v>
      </c>
      <c r="H153" s="1674"/>
      <c r="I153" s="1675">
        <f>J48</f>
        <v>0</v>
      </c>
      <c r="J153" s="1676"/>
      <c r="K153" s="1677">
        <f>L48</f>
        <v>0</v>
      </c>
      <c r="L153" s="1678"/>
      <c r="M153" s="1673">
        <f>Q48</f>
        <v>0</v>
      </c>
      <c r="N153" s="1679"/>
      <c r="O153" s="1679"/>
      <c r="P153" s="1679"/>
      <c r="Q153" s="1680"/>
    </row>
    <row r="154" spans="2:17" ht="14.5" hidden="1" thickBot="1">
      <c r="B154" s="1681" t="s">
        <v>821</v>
      </c>
      <c r="C154" s="1682"/>
      <c r="D154" s="1682"/>
      <c r="E154" s="1682"/>
      <c r="F154" s="1683"/>
      <c r="G154" s="1684">
        <f>H88</f>
        <v>0</v>
      </c>
      <c r="H154" s="1685"/>
      <c r="I154" s="1686">
        <f>J88</f>
        <v>0</v>
      </c>
      <c r="J154" s="1687"/>
      <c r="K154" s="1688">
        <f>L88</f>
        <v>0</v>
      </c>
      <c r="L154" s="1689"/>
      <c r="M154" s="1684">
        <f>Q88</f>
        <v>0</v>
      </c>
      <c r="N154" s="1690"/>
      <c r="O154" s="1690"/>
      <c r="P154" s="1690"/>
      <c r="Q154" s="1691"/>
    </row>
    <row r="155" spans="2:17" ht="14.5" hidden="1" thickBot="1">
      <c r="B155" s="1657" t="s">
        <v>792</v>
      </c>
      <c r="C155" s="1658"/>
      <c r="D155" s="1658"/>
      <c r="E155" s="1658"/>
      <c r="F155" s="1659"/>
      <c r="G155" s="1660">
        <f>G153-G154</f>
        <v>0</v>
      </c>
      <c r="H155" s="1638"/>
      <c r="I155" s="1661">
        <f>I153-I154</f>
        <v>0</v>
      </c>
      <c r="J155" s="1638"/>
      <c r="K155" s="1661">
        <f>K153-K154</f>
        <v>0</v>
      </c>
      <c r="L155" s="1639"/>
      <c r="M155" s="1660">
        <f>M153-M154</f>
        <v>0</v>
      </c>
      <c r="N155" s="1662"/>
      <c r="O155" s="1662"/>
      <c r="P155" s="1662"/>
      <c r="Q155" s="1639"/>
    </row>
    <row r="156" spans="2:17" ht="14.5" hidden="1" thickBot="1">
      <c r="B156" s="1663" t="s">
        <v>793</v>
      </c>
      <c r="C156" s="1664"/>
      <c r="D156" s="1664"/>
      <c r="E156" s="1664"/>
      <c r="F156" s="1665"/>
      <c r="G156" s="570"/>
      <c r="H156" s="1064"/>
      <c r="I156" s="1666">
        <f>MAX(G155:L155)</f>
        <v>0</v>
      </c>
      <c r="J156" s="1667"/>
      <c r="K156" s="1064"/>
      <c r="L156" s="1065"/>
      <c r="M156" s="1668">
        <f>M155</f>
        <v>0</v>
      </c>
      <c r="N156" s="1666"/>
      <c r="O156" s="1666"/>
      <c r="P156" s="1666"/>
      <c r="Q156" s="1669"/>
    </row>
    <row r="157" spans="2:17" hidden="1">
      <c r="I157" s="1047">
        <f>MAX(G153:L153)</f>
        <v>0</v>
      </c>
      <c r="J157" s="541"/>
      <c r="K157" s="541"/>
      <c r="L157" s="541"/>
      <c r="M157" s="541"/>
      <c r="N157" s="541"/>
      <c r="O157" s="541"/>
      <c r="P157" s="541"/>
      <c r="Q157" s="1047">
        <f>M153</f>
        <v>0</v>
      </c>
    </row>
    <row r="158" spans="2:17" hidden="1">
      <c r="I158" s="422">
        <f>MAX(G154:L154)</f>
        <v>0</v>
      </c>
      <c r="J158" s="543"/>
      <c r="K158" s="543"/>
      <c r="L158" s="543"/>
      <c r="M158" s="543"/>
      <c r="N158" s="543"/>
      <c r="O158" s="543"/>
      <c r="P158" s="543"/>
      <c r="Q158" s="422">
        <f>M154</f>
        <v>0</v>
      </c>
    </row>
    <row r="159" spans="2:17" hidden="1"/>
    <row r="160" spans="2:17" ht="25.5" hidden="1" thickBot="1">
      <c r="C160" s="542"/>
      <c r="D160" s="542"/>
      <c r="E160" s="542"/>
      <c r="F160" s="542"/>
      <c r="G160" s="542"/>
      <c r="H160" s="566" t="s">
        <v>872</v>
      </c>
      <c r="I160" s="542"/>
      <c r="J160" s="542"/>
      <c r="K160" s="542"/>
      <c r="L160" s="542"/>
      <c r="M160" s="542"/>
      <c r="N160" s="542"/>
      <c r="O160" s="542"/>
      <c r="P160" s="542"/>
      <c r="Q160" s="542"/>
    </row>
    <row r="161" spans="2:17" hidden="1">
      <c r="B161" s="1592" t="s">
        <v>718</v>
      </c>
      <c r="C161" s="1593"/>
      <c r="D161" s="1593"/>
      <c r="E161" s="1593"/>
      <c r="F161" s="1594"/>
      <c r="G161" s="1598" t="s">
        <v>785</v>
      </c>
      <c r="H161" s="1588"/>
      <c r="I161" s="1588"/>
      <c r="J161" s="1588"/>
      <c r="K161" s="1588"/>
      <c r="L161" s="1590"/>
      <c r="M161" s="1592" t="s">
        <v>786</v>
      </c>
      <c r="N161" s="1599"/>
      <c r="O161" s="1599"/>
      <c r="P161" s="1599"/>
      <c r="Q161" s="1600"/>
    </row>
    <row r="162" spans="2:17" ht="14.5" hidden="1" thickBot="1">
      <c r="B162" s="1595"/>
      <c r="C162" s="1596"/>
      <c r="D162" s="1596"/>
      <c r="E162" s="1596"/>
      <c r="F162" s="1597"/>
      <c r="G162" s="1603" t="s">
        <v>787</v>
      </c>
      <c r="H162" s="1604"/>
      <c r="I162" s="1597" t="s">
        <v>788</v>
      </c>
      <c r="J162" s="1604"/>
      <c r="K162" s="1597" t="s">
        <v>789</v>
      </c>
      <c r="L162" s="1605"/>
      <c r="M162" s="1595"/>
      <c r="N162" s="1601"/>
      <c r="O162" s="1601"/>
      <c r="P162" s="1601"/>
      <c r="Q162" s="1602"/>
    </row>
    <row r="163" spans="2:17" hidden="1">
      <c r="B163" s="1606" t="s">
        <v>820</v>
      </c>
      <c r="C163" s="1607"/>
      <c r="D163" s="1607"/>
      <c r="E163" s="1607"/>
      <c r="F163" s="1608"/>
      <c r="G163" s="1609">
        <f>H62</f>
        <v>0</v>
      </c>
      <c r="H163" s="1610"/>
      <c r="I163" s="1611">
        <f>J62</f>
        <v>0</v>
      </c>
      <c r="J163" s="1612"/>
      <c r="K163" s="1613">
        <f>L62</f>
        <v>0</v>
      </c>
      <c r="L163" s="1614"/>
      <c r="M163" s="1609">
        <f>Q72</f>
        <v>0</v>
      </c>
      <c r="N163" s="1615"/>
      <c r="O163" s="1615"/>
      <c r="P163" s="1615"/>
      <c r="Q163" s="1616"/>
    </row>
    <row r="164" spans="2:17" ht="14.5" hidden="1" thickBot="1">
      <c r="B164" s="1573" t="s">
        <v>821</v>
      </c>
      <c r="C164" s="1574"/>
      <c r="D164" s="1574"/>
      <c r="E164" s="1574"/>
      <c r="F164" s="1575"/>
      <c r="G164" s="1576">
        <f>H102</f>
        <v>0</v>
      </c>
      <c r="H164" s="1577"/>
      <c r="I164" s="1578">
        <f>J102</f>
        <v>0</v>
      </c>
      <c r="J164" s="1579"/>
      <c r="K164" s="1580">
        <f>L102</f>
        <v>0</v>
      </c>
      <c r="L164" s="1581"/>
      <c r="M164" s="1576">
        <f>Q112</f>
        <v>0</v>
      </c>
      <c r="N164" s="1582"/>
      <c r="O164" s="1582"/>
      <c r="P164" s="1582"/>
      <c r="Q164" s="1583"/>
    </row>
    <row r="165" spans="2:17" ht="14.5" hidden="1" thickBot="1">
      <c r="B165" s="1584" t="s">
        <v>792</v>
      </c>
      <c r="C165" s="1585"/>
      <c r="D165" s="1585"/>
      <c r="E165" s="1585"/>
      <c r="F165" s="1586"/>
      <c r="G165" s="1587">
        <f>G163-G164</f>
        <v>0</v>
      </c>
      <c r="H165" s="1588"/>
      <c r="I165" s="1589">
        <f>I163-I164</f>
        <v>0</v>
      </c>
      <c r="J165" s="1588"/>
      <c r="K165" s="1589">
        <f>K163-K164</f>
        <v>0</v>
      </c>
      <c r="L165" s="1590"/>
      <c r="M165" s="1587">
        <f>M163-M164</f>
        <v>0</v>
      </c>
      <c r="N165" s="1591"/>
      <c r="O165" s="1591"/>
      <c r="P165" s="1591"/>
      <c r="Q165" s="1590"/>
    </row>
    <row r="166" spans="2:17" ht="14.5" hidden="1" thickBot="1">
      <c r="B166" s="1559" t="s">
        <v>793</v>
      </c>
      <c r="C166" s="1560"/>
      <c r="D166" s="1560"/>
      <c r="E166" s="1560"/>
      <c r="F166" s="1561"/>
      <c r="G166" s="565"/>
      <c r="H166" s="1029"/>
      <c r="I166" s="1562">
        <f>MAX(G165:L165)</f>
        <v>0</v>
      </c>
      <c r="J166" s="1563"/>
      <c r="K166" s="1029"/>
      <c r="L166" s="1030"/>
      <c r="M166" s="1564">
        <f>M165</f>
        <v>0</v>
      </c>
      <c r="N166" s="1562"/>
      <c r="O166" s="1562"/>
      <c r="P166" s="1562"/>
      <c r="Q166" s="1565"/>
    </row>
    <row r="167" spans="2:17" hidden="1">
      <c r="I167" s="1047">
        <f>MAX(G163:L163)</f>
        <v>0</v>
      </c>
      <c r="J167" s="541"/>
      <c r="K167" s="541"/>
      <c r="L167" s="541"/>
      <c r="M167" s="541"/>
      <c r="N167" s="541"/>
      <c r="O167" s="541"/>
      <c r="P167" s="541"/>
      <c r="Q167" s="1047">
        <f>M163</f>
        <v>0</v>
      </c>
    </row>
    <row r="168" spans="2:17" hidden="1">
      <c r="I168" s="422">
        <f>MAX(G164:L164)</f>
        <v>0</v>
      </c>
      <c r="J168" s="543"/>
      <c r="K168" s="543"/>
      <c r="L168" s="543"/>
      <c r="M168" s="543"/>
      <c r="N168" s="543"/>
      <c r="O168" s="543"/>
      <c r="P168" s="543"/>
      <c r="Q168" s="422">
        <f>M164</f>
        <v>0</v>
      </c>
    </row>
    <row r="169" spans="2:17" hidden="1"/>
  </sheetData>
  <sheetProtection algorithmName="SHA-512" hashValue="HGnwCSRNYSiIa0+DJDlDbmNNyHZm+9tR1RILMaSK36WBZsDUGQg+CYNnrtd3KJAN0H8mT/AbtmnXn8psMhXpvg==" saltValue="NppXAiUgWqslFql176hXnQ==" spinCount="100000" sheet="1" formatCells="0"/>
  <mergeCells count="264">
    <mergeCell ref="B135:F135"/>
    <mergeCell ref="I135:J135"/>
    <mergeCell ref="M135:Q135"/>
    <mergeCell ref="I132:J132"/>
    <mergeCell ref="K132:L132"/>
    <mergeCell ref="M132:Q132"/>
    <mergeCell ref="B133:F133"/>
    <mergeCell ref="G133:H133"/>
    <mergeCell ref="I133:J133"/>
    <mergeCell ref="K133:L133"/>
    <mergeCell ref="M133:Q133"/>
    <mergeCell ref="B134:F134"/>
    <mergeCell ref="G134:H134"/>
    <mergeCell ref="I134:J134"/>
    <mergeCell ref="K134:L134"/>
    <mergeCell ref="M134:Q134"/>
    <mergeCell ref="I27:J27"/>
    <mergeCell ref="K27:L27"/>
    <mergeCell ref="L13:Q13"/>
    <mergeCell ref="K4:Q4"/>
    <mergeCell ref="L12:Q12"/>
    <mergeCell ref="L11:Q11"/>
    <mergeCell ref="H16:K16"/>
    <mergeCell ref="B116:E116"/>
    <mergeCell ref="B20:C20"/>
    <mergeCell ref="B21:C21"/>
    <mergeCell ref="B22:C22"/>
    <mergeCell ref="D15:F15"/>
    <mergeCell ref="B23:C23"/>
    <mergeCell ref="D16:E16"/>
    <mergeCell ref="D17:E17"/>
    <mergeCell ref="D18:E18"/>
    <mergeCell ref="D19:E19"/>
    <mergeCell ref="D20:E20"/>
    <mergeCell ref="D21:E21"/>
    <mergeCell ref="D22:E22"/>
    <mergeCell ref="D23:E23"/>
    <mergeCell ref="B6:D6"/>
    <mergeCell ref="B5:D5"/>
    <mergeCell ref="K7:Q7"/>
    <mergeCell ref="B117:E117"/>
    <mergeCell ref="H23:K23"/>
    <mergeCell ref="H18:K18"/>
    <mergeCell ref="H19:K19"/>
    <mergeCell ref="H20:K20"/>
    <mergeCell ref="H21:K21"/>
    <mergeCell ref="H22:K22"/>
    <mergeCell ref="B8:D8"/>
    <mergeCell ref="B14:G14"/>
    <mergeCell ref="H15:K15"/>
    <mergeCell ref="H14:Q14"/>
    <mergeCell ref="C80:C87"/>
    <mergeCell ref="H17:K17"/>
    <mergeCell ref="G51:H51"/>
    <mergeCell ref="I51:J51"/>
    <mergeCell ref="K51:L51"/>
    <mergeCell ref="B25:Q25"/>
    <mergeCell ref="N27:N28"/>
    <mergeCell ref="B15:C15"/>
    <mergeCell ref="B16:C16"/>
    <mergeCell ref="B17:C17"/>
    <mergeCell ref="B18:C18"/>
    <mergeCell ref="B19:C19"/>
    <mergeCell ref="G27:H27"/>
    <mergeCell ref="B7:D7"/>
    <mergeCell ref="E7:F7"/>
    <mergeCell ref="L9:Q9"/>
    <mergeCell ref="L10:Q10"/>
    <mergeCell ref="E6:G6"/>
    <mergeCell ref="H6:I6"/>
    <mergeCell ref="J6:Q6"/>
    <mergeCell ref="E5:Q5"/>
    <mergeCell ref="B112:F112"/>
    <mergeCell ref="M112:Q112"/>
    <mergeCell ref="I112:J112"/>
    <mergeCell ref="K110:L110"/>
    <mergeCell ref="M110:Q110"/>
    <mergeCell ref="G111:H111"/>
    <mergeCell ref="I111:J111"/>
    <mergeCell ref="K111:L111"/>
    <mergeCell ref="M111:Q111"/>
    <mergeCell ref="B111:F111"/>
    <mergeCell ref="B110:F110"/>
    <mergeCell ref="G110:H110"/>
    <mergeCell ref="I110:J110"/>
    <mergeCell ref="B109:F109"/>
    <mergeCell ref="G107:L107"/>
    <mergeCell ref="G109:H109"/>
    <mergeCell ref="I109:J109"/>
    <mergeCell ref="K109:L109"/>
    <mergeCell ref="M109:Q109"/>
    <mergeCell ref="C94:C101"/>
    <mergeCell ref="B103:E103"/>
    <mergeCell ref="B106:Q106"/>
    <mergeCell ref="G108:H108"/>
    <mergeCell ref="I108:J108"/>
    <mergeCell ref="K108:L108"/>
    <mergeCell ref="M107:Q108"/>
    <mergeCell ref="B107:F108"/>
    <mergeCell ref="M27:M28"/>
    <mergeCell ref="B90:C93"/>
    <mergeCell ref="D90:F90"/>
    <mergeCell ref="G91:H91"/>
    <mergeCell ref="I91:J91"/>
    <mergeCell ref="K91:L91"/>
    <mergeCell ref="B66:C69"/>
    <mergeCell ref="D66:F66"/>
    <mergeCell ref="G66:L66"/>
    <mergeCell ref="M66:Q66"/>
    <mergeCell ref="D67:D69"/>
    <mergeCell ref="E67:E68"/>
    <mergeCell ref="F67:F68"/>
    <mergeCell ref="M67:M68"/>
    <mergeCell ref="Q67:Q68"/>
    <mergeCell ref="N67:N68"/>
    <mergeCell ref="G67:H67"/>
    <mergeCell ref="I67:J67"/>
    <mergeCell ref="K67:L67"/>
    <mergeCell ref="G90:L90"/>
    <mergeCell ref="D91:D93"/>
    <mergeCell ref="E91:E92"/>
    <mergeCell ref="F91:F92"/>
    <mergeCell ref="C71:C78"/>
    <mergeCell ref="O67:O68"/>
    <mergeCell ref="O27:O28"/>
    <mergeCell ref="B2:E2"/>
    <mergeCell ref="P27:P28"/>
    <mergeCell ref="P67:P68"/>
    <mergeCell ref="B65:Q65"/>
    <mergeCell ref="Q27:Q28"/>
    <mergeCell ref="C31:C38"/>
    <mergeCell ref="C40:C47"/>
    <mergeCell ref="B50:C53"/>
    <mergeCell ref="D50:F50"/>
    <mergeCell ref="G50:L50"/>
    <mergeCell ref="D51:D53"/>
    <mergeCell ref="E51:E52"/>
    <mergeCell ref="F51:F52"/>
    <mergeCell ref="C54:C61"/>
    <mergeCell ref="B63:E63"/>
    <mergeCell ref="B26:C29"/>
    <mergeCell ref="D26:F26"/>
    <mergeCell ref="G26:L26"/>
    <mergeCell ref="M26:Q26"/>
    <mergeCell ref="D27:D29"/>
    <mergeCell ref="E27:E28"/>
    <mergeCell ref="F27:F28"/>
    <mergeCell ref="B120:F121"/>
    <mergeCell ref="G120:L120"/>
    <mergeCell ref="M120:Q121"/>
    <mergeCell ref="G121:H121"/>
    <mergeCell ref="I121:J121"/>
    <mergeCell ref="K121:L121"/>
    <mergeCell ref="B122:F122"/>
    <mergeCell ref="G122:H122"/>
    <mergeCell ref="I122:J122"/>
    <mergeCell ref="K122:L122"/>
    <mergeCell ref="M122:Q122"/>
    <mergeCell ref="B123:F123"/>
    <mergeCell ref="G123:H123"/>
    <mergeCell ref="I123:J123"/>
    <mergeCell ref="K123:L123"/>
    <mergeCell ref="M123:Q123"/>
    <mergeCell ref="B124:F124"/>
    <mergeCell ref="G124:H124"/>
    <mergeCell ref="I124:J124"/>
    <mergeCell ref="K124:L124"/>
    <mergeCell ref="M124:Q124"/>
    <mergeCell ref="K143:L143"/>
    <mergeCell ref="M143:Q143"/>
    <mergeCell ref="B144:F144"/>
    <mergeCell ref="G144:H144"/>
    <mergeCell ref="I144:J144"/>
    <mergeCell ref="K144:L144"/>
    <mergeCell ref="M144:Q144"/>
    <mergeCell ref="B125:F125"/>
    <mergeCell ref="I125:J125"/>
    <mergeCell ref="M125:Q125"/>
    <mergeCell ref="B141:F142"/>
    <mergeCell ref="G141:L141"/>
    <mergeCell ref="M141:Q142"/>
    <mergeCell ref="G142:H142"/>
    <mergeCell ref="I142:J142"/>
    <mergeCell ref="K142:L142"/>
    <mergeCell ref="B130:F131"/>
    <mergeCell ref="G130:L130"/>
    <mergeCell ref="M130:Q131"/>
    <mergeCell ref="G131:H131"/>
    <mergeCell ref="I131:J131"/>
    <mergeCell ref="K131:L131"/>
    <mergeCell ref="B132:F132"/>
    <mergeCell ref="G132:H132"/>
    <mergeCell ref="S115:V115"/>
    <mergeCell ref="B155:F155"/>
    <mergeCell ref="G155:H155"/>
    <mergeCell ref="I155:J155"/>
    <mergeCell ref="K155:L155"/>
    <mergeCell ref="M155:Q155"/>
    <mergeCell ref="B156:F156"/>
    <mergeCell ref="I156:J156"/>
    <mergeCell ref="M156:Q156"/>
    <mergeCell ref="B153:F153"/>
    <mergeCell ref="G153:H153"/>
    <mergeCell ref="I153:J153"/>
    <mergeCell ref="K153:L153"/>
    <mergeCell ref="M153:Q153"/>
    <mergeCell ref="B154:F154"/>
    <mergeCell ref="G154:H154"/>
    <mergeCell ref="I154:J154"/>
    <mergeCell ref="K154:L154"/>
    <mergeCell ref="M154:Q154"/>
    <mergeCell ref="B145:F145"/>
    <mergeCell ref="G145:H145"/>
    <mergeCell ref="I145:J145"/>
    <mergeCell ref="K145:L145"/>
    <mergeCell ref="M145:Q145"/>
    <mergeCell ref="G163:H163"/>
    <mergeCell ref="I163:J163"/>
    <mergeCell ref="K163:L163"/>
    <mergeCell ref="M163:Q163"/>
    <mergeCell ref="C39:F39"/>
    <mergeCell ref="C48:F48"/>
    <mergeCell ref="C79:F79"/>
    <mergeCell ref="C88:F88"/>
    <mergeCell ref="B70:B89"/>
    <mergeCell ref="C89:F89"/>
    <mergeCell ref="B30:B49"/>
    <mergeCell ref="C49:F49"/>
    <mergeCell ref="B146:F146"/>
    <mergeCell ref="I146:J146"/>
    <mergeCell ref="M146:Q146"/>
    <mergeCell ref="B151:F152"/>
    <mergeCell ref="G151:L151"/>
    <mergeCell ref="M151:Q152"/>
    <mergeCell ref="G152:H152"/>
    <mergeCell ref="I152:J152"/>
    <mergeCell ref="K152:L152"/>
    <mergeCell ref="B143:F143"/>
    <mergeCell ref="G143:H143"/>
    <mergeCell ref="I143:J143"/>
    <mergeCell ref="B166:F166"/>
    <mergeCell ref="I166:J166"/>
    <mergeCell ref="M166:Q166"/>
    <mergeCell ref="C102:F102"/>
    <mergeCell ref="B94:B102"/>
    <mergeCell ref="C62:F62"/>
    <mergeCell ref="B54:B62"/>
    <mergeCell ref="B164:F164"/>
    <mergeCell ref="G164:H164"/>
    <mergeCell ref="I164:J164"/>
    <mergeCell ref="K164:L164"/>
    <mergeCell ref="M164:Q164"/>
    <mergeCell ref="B165:F165"/>
    <mergeCell ref="G165:H165"/>
    <mergeCell ref="I165:J165"/>
    <mergeCell ref="K165:L165"/>
    <mergeCell ref="M165:Q165"/>
    <mergeCell ref="B161:F162"/>
    <mergeCell ref="G161:L161"/>
    <mergeCell ref="M161:Q162"/>
    <mergeCell ref="G162:H162"/>
    <mergeCell ref="I162:J162"/>
    <mergeCell ref="K162:L162"/>
    <mergeCell ref="B163:F163"/>
  </mergeCells>
  <phoneticPr fontId="2"/>
  <conditionalFormatting sqref="K4">
    <cfRule type="containsBlanks" dxfId="2" priority="3">
      <formula>LEN(TRIM(K4))=0</formula>
    </cfRule>
  </conditionalFormatting>
  <pageMargins left="0.35433070866141736" right="0" top="0.55118110236220474" bottom="0.43307086614173229" header="0.31496062992125984" footer="0.31496062992125984"/>
  <pageSetup paperSize="9" scale="88" orientation="portrait" r:id="rId1"/>
  <headerFooter>
    <oddHeader>&amp;L&amp;9暑さ対策計算シート&amp;R&amp;9埼玉県温暖化対策課</oddHeader>
  </headerFooter>
  <rowBreaks count="1" manualBreakCount="1">
    <brk id="64" max="16383" man="1"/>
  </rowBreaks>
  <cellWatches>
    <cellWatch r="M112"/>
  </cellWatches>
  <ignoredErrors>
    <ignoredError sqref="F80:F87 H80:J87 F94:K101 H40:J47 M16:M23" 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2:O17"/>
  <sheetViews>
    <sheetView view="pageBreakPreview" zoomScaleNormal="100" zoomScaleSheetLayoutView="100" workbookViewId="0">
      <selection activeCell="J5" sqref="J5:AH5"/>
    </sheetView>
  </sheetViews>
  <sheetFormatPr defaultColWidth="9" defaultRowHeight="13"/>
  <cols>
    <col min="1" max="2" width="5" style="611" customWidth="1"/>
    <col min="3" max="3" width="28" style="611" customWidth="1"/>
    <col min="4" max="4" width="5.7265625" style="611" bestFit="1" customWidth="1"/>
    <col min="5" max="7" width="15.08984375" style="611" customWidth="1"/>
    <col min="8" max="8" width="6.453125" style="611" bestFit="1" customWidth="1"/>
    <col min="9" max="9" width="8" style="611" bestFit="1" customWidth="1"/>
    <col min="10" max="10" width="8" style="611" hidden="1" customWidth="1"/>
    <col min="11" max="11" width="5.90625" style="611" hidden="1" customWidth="1"/>
    <col min="12" max="12" width="10.453125" style="611" hidden="1" customWidth="1"/>
    <col min="13" max="15" width="15.08984375" style="611" customWidth="1"/>
    <col min="16" max="16384" width="9" style="611"/>
  </cols>
  <sheetData>
    <row r="2" spans="1:15" ht="17" thickBot="1">
      <c r="A2" s="604" t="s">
        <v>833</v>
      </c>
      <c r="B2" s="605"/>
      <c r="C2" s="605"/>
      <c r="D2" s="605"/>
      <c r="E2" s="606"/>
      <c r="F2" s="605"/>
      <c r="G2" s="605"/>
      <c r="H2" s="607"/>
      <c r="I2" s="605"/>
      <c r="J2" s="608"/>
      <c r="K2" s="605"/>
      <c r="L2" s="609"/>
      <c r="M2" s="610"/>
      <c r="N2" s="610"/>
      <c r="O2" s="610"/>
    </row>
    <row r="3" spans="1:15" ht="33" customHeight="1">
      <c r="A3" s="612"/>
      <c r="B3" s="1921" t="s">
        <v>834</v>
      </c>
      <c r="C3" s="1921"/>
      <c r="D3" s="1912" t="s">
        <v>835</v>
      </c>
      <c r="E3" s="1905" t="s">
        <v>836</v>
      </c>
      <c r="F3" s="1906"/>
      <c r="G3" s="1907"/>
      <c r="H3" s="1908" t="s">
        <v>837</v>
      </c>
      <c r="I3" s="1909"/>
      <c r="J3" s="1912" t="s">
        <v>838</v>
      </c>
      <c r="K3" s="1914" t="s">
        <v>839</v>
      </c>
      <c r="L3" s="1926" t="s">
        <v>840</v>
      </c>
      <c r="M3" s="1894" t="s">
        <v>841</v>
      </c>
      <c r="N3" s="1895"/>
      <c r="O3" s="1896"/>
    </row>
    <row r="4" spans="1:15" ht="24.75" customHeight="1">
      <c r="A4" s="613"/>
      <c r="B4" s="1922"/>
      <c r="C4" s="1922"/>
      <c r="D4" s="1924"/>
      <c r="E4" s="614" t="s">
        <v>1447</v>
      </c>
      <c r="F4" s="614" t="s">
        <v>1028</v>
      </c>
      <c r="G4" s="615" t="s">
        <v>1448</v>
      </c>
      <c r="H4" s="1910"/>
      <c r="I4" s="1911"/>
      <c r="J4" s="1913"/>
      <c r="K4" s="1915"/>
      <c r="L4" s="1927"/>
      <c r="M4" s="616" t="s">
        <v>1447</v>
      </c>
      <c r="N4" s="617" t="s">
        <v>1028</v>
      </c>
      <c r="O4" s="618" t="s">
        <v>1448</v>
      </c>
    </row>
    <row r="5" spans="1:15">
      <c r="A5" s="613"/>
      <c r="B5" s="1922"/>
      <c r="C5" s="1922"/>
      <c r="D5" s="1924"/>
      <c r="E5" s="1897" t="s">
        <v>842</v>
      </c>
      <c r="F5" s="1898"/>
      <c r="G5" s="1899"/>
      <c r="H5" s="1900" t="s">
        <v>843</v>
      </c>
      <c r="I5" s="1901"/>
      <c r="J5" s="619" t="s">
        <v>844</v>
      </c>
      <c r="K5" s="620" t="s">
        <v>845</v>
      </c>
      <c r="L5" s="716"/>
      <c r="M5" s="621" t="s">
        <v>846</v>
      </c>
      <c r="N5" s="622" t="s">
        <v>846</v>
      </c>
      <c r="O5" s="622" t="s">
        <v>846</v>
      </c>
    </row>
    <row r="6" spans="1:15" ht="24" customHeight="1" thickBot="1">
      <c r="A6" s="623"/>
      <c r="B6" s="1923"/>
      <c r="C6" s="1923"/>
      <c r="D6" s="1925"/>
      <c r="E6" s="1902" t="s">
        <v>847</v>
      </c>
      <c r="F6" s="1903"/>
      <c r="G6" s="1904"/>
      <c r="H6" s="624"/>
      <c r="I6" s="625" t="s">
        <v>848</v>
      </c>
      <c r="J6" s="626" t="s">
        <v>609</v>
      </c>
      <c r="K6" s="626" t="s">
        <v>610</v>
      </c>
      <c r="L6" s="624"/>
      <c r="M6" s="627" t="s">
        <v>611</v>
      </c>
      <c r="N6" s="628" t="s">
        <v>611</v>
      </c>
      <c r="O6" s="628" t="s">
        <v>611</v>
      </c>
    </row>
    <row r="7" spans="1:15" ht="27.75" customHeight="1">
      <c r="A7" s="1881" t="s">
        <v>849</v>
      </c>
      <c r="B7" s="1883" t="s">
        <v>850</v>
      </c>
      <c r="C7" s="629" t="s">
        <v>851</v>
      </c>
      <c r="D7" s="630" t="s">
        <v>611</v>
      </c>
      <c r="E7" s="731"/>
      <c r="F7" s="730"/>
      <c r="G7" s="729"/>
      <c r="H7" s="631">
        <v>34.6</v>
      </c>
      <c r="I7" s="632" t="s">
        <v>612</v>
      </c>
      <c r="J7" s="633">
        <f t="shared" ref="J7:J13" si="0">E7*H7</f>
        <v>0</v>
      </c>
      <c r="K7" s="634">
        <v>2.58E-2</v>
      </c>
      <c r="L7" s="635">
        <f t="shared" ref="L7:L13" si="1">ROUNDDOWN(H7*K7,5-INT(LOG(ABS(H7*K7))))</f>
        <v>0.89268000000000003</v>
      </c>
      <c r="M7" s="636">
        <f t="shared" ref="M7:M13" si="2">E7*H7*K7</f>
        <v>0</v>
      </c>
      <c r="N7" s="637">
        <f t="shared" ref="N7:N13" si="3">F7*H7*K7</f>
        <v>0</v>
      </c>
      <c r="O7" s="637">
        <f t="shared" ref="O7:O13" si="4">G7*H7*K7</f>
        <v>0</v>
      </c>
    </row>
    <row r="8" spans="1:15" ht="27.75" customHeight="1">
      <c r="A8" s="1881"/>
      <c r="B8" s="1884"/>
      <c r="C8" s="638" t="s">
        <v>852</v>
      </c>
      <c r="D8" s="639" t="s">
        <v>611</v>
      </c>
      <c r="E8" s="728"/>
      <c r="F8" s="727"/>
      <c r="G8" s="726"/>
      <c r="H8" s="640">
        <v>36.700000000000003</v>
      </c>
      <c r="I8" s="641" t="s">
        <v>612</v>
      </c>
      <c r="J8" s="642">
        <f t="shared" si="0"/>
        <v>0</v>
      </c>
      <c r="K8" s="643">
        <v>2.58E-2</v>
      </c>
      <c r="L8" s="644">
        <f t="shared" si="1"/>
        <v>0.94686000000000003</v>
      </c>
      <c r="M8" s="645">
        <f t="shared" si="2"/>
        <v>0</v>
      </c>
      <c r="N8" s="646">
        <f t="shared" si="3"/>
        <v>0</v>
      </c>
      <c r="O8" s="646">
        <f t="shared" si="4"/>
        <v>0</v>
      </c>
    </row>
    <row r="9" spans="1:15" ht="27.75" customHeight="1">
      <c r="A9" s="1881"/>
      <c r="B9" s="1884"/>
      <c r="C9" s="638" t="s">
        <v>853</v>
      </c>
      <c r="D9" s="639" t="s">
        <v>611</v>
      </c>
      <c r="E9" s="728"/>
      <c r="F9" s="727"/>
      <c r="G9" s="726"/>
      <c r="H9" s="640">
        <v>37.700000000000003</v>
      </c>
      <c r="I9" s="641" t="s">
        <v>612</v>
      </c>
      <c r="J9" s="642">
        <f t="shared" si="0"/>
        <v>0</v>
      </c>
      <c r="K9" s="643">
        <v>2.58E-2</v>
      </c>
      <c r="L9" s="644">
        <f t="shared" si="1"/>
        <v>0.97265999999999997</v>
      </c>
      <c r="M9" s="645">
        <f t="shared" si="2"/>
        <v>0</v>
      </c>
      <c r="N9" s="646">
        <f t="shared" si="3"/>
        <v>0</v>
      </c>
      <c r="O9" s="646">
        <f t="shared" si="4"/>
        <v>0</v>
      </c>
    </row>
    <row r="10" spans="1:15" ht="27.75" customHeight="1">
      <c r="A10" s="1881"/>
      <c r="B10" s="1884"/>
      <c r="C10" s="638" t="s">
        <v>854</v>
      </c>
      <c r="D10" s="639" t="s">
        <v>611</v>
      </c>
      <c r="E10" s="728"/>
      <c r="F10" s="727"/>
      <c r="G10" s="726"/>
      <c r="H10" s="640">
        <v>39.1</v>
      </c>
      <c r="I10" s="641" t="s">
        <v>612</v>
      </c>
      <c r="J10" s="642">
        <f t="shared" si="0"/>
        <v>0</v>
      </c>
      <c r="K10" s="643">
        <v>2.58E-2</v>
      </c>
      <c r="L10" s="644">
        <f t="shared" si="1"/>
        <v>1.00878</v>
      </c>
      <c r="M10" s="645">
        <f t="shared" si="2"/>
        <v>0</v>
      </c>
      <c r="N10" s="646">
        <f t="shared" si="3"/>
        <v>0</v>
      </c>
      <c r="O10" s="646">
        <f t="shared" si="4"/>
        <v>0</v>
      </c>
    </row>
    <row r="11" spans="1:15" ht="27.75" customHeight="1">
      <c r="A11" s="1881"/>
      <c r="B11" s="1884"/>
      <c r="C11" s="638" t="s">
        <v>855</v>
      </c>
      <c r="D11" s="639" t="s">
        <v>613</v>
      </c>
      <c r="E11" s="728"/>
      <c r="F11" s="727"/>
      <c r="G11" s="726"/>
      <c r="H11" s="640">
        <v>50.8</v>
      </c>
      <c r="I11" s="641" t="s">
        <v>614</v>
      </c>
      <c r="J11" s="642">
        <f t="shared" si="0"/>
        <v>0</v>
      </c>
      <c r="K11" s="643">
        <v>2.58E-2</v>
      </c>
      <c r="L11" s="644">
        <f t="shared" si="1"/>
        <v>1.31064</v>
      </c>
      <c r="M11" s="645">
        <f t="shared" si="2"/>
        <v>0</v>
      </c>
      <c r="N11" s="646">
        <f t="shared" si="3"/>
        <v>0</v>
      </c>
      <c r="O11" s="646">
        <f t="shared" si="4"/>
        <v>0</v>
      </c>
    </row>
    <row r="12" spans="1:15" ht="27.75" customHeight="1">
      <c r="A12" s="1881"/>
      <c r="B12" s="1884"/>
      <c r="C12" s="638" t="s">
        <v>856</v>
      </c>
      <c r="D12" s="639" t="s">
        <v>613</v>
      </c>
      <c r="E12" s="728"/>
      <c r="F12" s="727"/>
      <c r="G12" s="726"/>
      <c r="H12" s="640">
        <v>54.6</v>
      </c>
      <c r="I12" s="641" t="s">
        <v>614</v>
      </c>
      <c r="J12" s="642">
        <f t="shared" si="0"/>
        <v>0</v>
      </c>
      <c r="K12" s="643">
        <v>2.58E-2</v>
      </c>
      <c r="L12" s="644">
        <f t="shared" si="1"/>
        <v>1.4086799999999999</v>
      </c>
      <c r="M12" s="645">
        <f t="shared" si="2"/>
        <v>0</v>
      </c>
      <c r="N12" s="646">
        <f t="shared" si="3"/>
        <v>0</v>
      </c>
      <c r="O12" s="646">
        <f t="shared" si="4"/>
        <v>0</v>
      </c>
    </row>
    <row r="13" spans="1:15" ht="27.75" customHeight="1" thickBot="1">
      <c r="A13" s="1881"/>
      <c r="B13" s="1884"/>
      <c r="C13" s="647" t="s">
        <v>857</v>
      </c>
      <c r="D13" s="648" t="s">
        <v>858</v>
      </c>
      <c r="E13" s="725"/>
      <c r="F13" s="724"/>
      <c r="G13" s="723"/>
      <c r="H13" s="649">
        <v>45</v>
      </c>
      <c r="I13" s="650" t="s">
        <v>859</v>
      </c>
      <c r="J13" s="642">
        <f t="shared" si="0"/>
        <v>0</v>
      </c>
      <c r="K13" s="643">
        <v>2.58E-2</v>
      </c>
      <c r="L13" s="644">
        <f t="shared" si="1"/>
        <v>1.161</v>
      </c>
      <c r="M13" s="651">
        <f t="shared" si="2"/>
        <v>0</v>
      </c>
      <c r="N13" s="652">
        <f t="shared" si="3"/>
        <v>0</v>
      </c>
      <c r="O13" s="652">
        <f t="shared" si="4"/>
        <v>0</v>
      </c>
    </row>
    <row r="14" spans="1:15" ht="27.75" customHeight="1" thickTop="1" thickBot="1">
      <c r="A14" s="1881"/>
      <c r="B14" s="653"/>
      <c r="C14" s="1885" t="s">
        <v>860</v>
      </c>
      <c r="D14" s="1886"/>
      <c r="E14" s="1887"/>
      <c r="F14" s="1888"/>
      <c r="G14" s="1889"/>
      <c r="H14" s="1890"/>
      <c r="I14" s="1891"/>
      <c r="J14" s="654">
        <f>SUM(J7:J13)</f>
        <v>0</v>
      </c>
      <c r="K14" s="643"/>
      <c r="L14" s="655"/>
      <c r="M14" s="656">
        <f>SUM(M7:M13)</f>
        <v>0</v>
      </c>
      <c r="N14" s="657">
        <f>SUM(N7:N13)</f>
        <v>0</v>
      </c>
      <c r="O14" s="657">
        <f>SUM(O7:O13)</f>
        <v>0</v>
      </c>
    </row>
    <row r="15" spans="1:15" ht="25.5" hidden="1" customHeight="1" thickTop="1">
      <c r="A15" s="1882"/>
      <c r="B15" s="658"/>
      <c r="C15" s="659"/>
      <c r="D15" s="660"/>
      <c r="E15" s="722" t="s">
        <v>861</v>
      </c>
      <c r="F15" s="721"/>
      <c r="G15" s="720"/>
      <c r="H15" s="661" t="s">
        <v>843</v>
      </c>
      <c r="I15" s="662"/>
      <c r="J15" s="663" t="s">
        <v>844</v>
      </c>
      <c r="K15" s="643"/>
      <c r="L15" s="664"/>
      <c r="M15" s="665" t="e">
        <f>E15*H15*K15</f>
        <v>#VALUE!</v>
      </c>
      <c r="N15" s="666">
        <f>F15*I15*L15</f>
        <v>0</v>
      </c>
      <c r="O15" s="666" t="e">
        <f>G15*J15*M15</f>
        <v>#VALUE!</v>
      </c>
    </row>
    <row r="16" spans="1:15" ht="28.5" customHeight="1" thickBot="1">
      <c r="A16" s="1881"/>
      <c r="B16" s="1892" t="s">
        <v>862</v>
      </c>
      <c r="C16" s="1893"/>
      <c r="D16" s="667" t="s">
        <v>863</v>
      </c>
      <c r="E16" s="719"/>
      <c r="F16" s="718"/>
      <c r="G16" s="717"/>
      <c r="H16" s="668">
        <v>9.76</v>
      </c>
      <c r="I16" s="669" t="s">
        <v>864</v>
      </c>
      <c r="J16" s="670">
        <f>E16*H16</f>
        <v>0</v>
      </c>
      <c r="K16" s="671">
        <v>2.58E-2</v>
      </c>
      <c r="L16" s="672">
        <f>ROUNDDOWN(H16*K16,5-INT(LOG(ABS(H16*K16))))</f>
        <v>0.25180799999999998</v>
      </c>
      <c r="M16" s="673">
        <f>E16*H16*K16</f>
        <v>0</v>
      </c>
      <c r="N16" s="674">
        <f>F16*H16*K16</f>
        <v>0</v>
      </c>
      <c r="O16" s="674">
        <f>G16*H16*K16</f>
        <v>0</v>
      </c>
    </row>
    <row r="17" spans="1:15" ht="28.5" customHeight="1" thickBot="1">
      <c r="A17" s="675"/>
      <c r="B17" s="1916" t="s">
        <v>578</v>
      </c>
      <c r="C17" s="1917"/>
      <c r="D17" s="1918"/>
      <c r="E17" s="676"/>
      <c r="F17" s="677"/>
      <c r="G17" s="678"/>
      <c r="H17" s="1919"/>
      <c r="I17" s="1920"/>
      <c r="J17" s="679">
        <f>+J14+J16</f>
        <v>0</v>
      </c>
      <c r="K17" s="680"/>
      <c r="L17" s="681"/>
      <c r="M17" s="682">
        <f>+M14+M16</f>
        <v>0</v>
      </c>
      <c r="N17" s="683">
        <f>+N14+N16</f>
        <v>0</v>
      </c>
      <c r="O17" s="683">
        <f>+O14+O16</f>
        <v>0</v>
      </c>
    </row>
  </sheetData>
  <sheetProtection algorithmName="SHA-512" hashValue="GJk6MaLpuT+Q6aGIJuuEVooyUYMRinmhf+88/2JQ0Dt52qDzY9ySASHV28Z/hll8LQBQyd9WnUfB1Fs7T/bpag==" saltValue="l6KLV8pevMK0hnp1/gG7lg==" spinCount="100000" sheet="1" objects="1" formatCells="0"/>
  <mergeCells count="19">
    <mergeCell ref="B17:D17"/>
    <mergeCell ref="H17:I17"/>
    <mergeCell ref="B3:C6"/>
    <mergeCell ref="D3:D6"/>
    <mergeCell ref="L3:L4"/>
    <mergeCell ref="M3:O3"/>
    <mergeCell ref="E5:G5"/>
    <mergeCell ref="H5:I5"/>
    <mergeCell ref="E6:G6"/>
    <mergeCell ref="E3:G3"/>
    <mergeCell ref="H3:I4"/>
    <mergeCell ref="J3:J4"/>
    <mergeCell ref="K3:K4"/>
    <mergeCell ref="A7:A16"/>
    <mergeCell ref="B7:B13"/>
    <mergeCell ref="C14:D14"/>
    <mergeCell ref="E14:G14"/>
    <mergeCell ref="H14:I14"/>
    <mergeCell ref="B16:C16"/>
  </mergeCells>
  <phoneticPr fontId="2"/>
  <conditionalFormatting sqref="E7:G13">
    <cfRule type="containsBlanks" dxfId="1" priority="2">
      <formula>LEN(TRIM(E7))=0</formula>
    </cfRule>
  </conditionalFormatting>
  <conditionalFormatting sqref="E16:G16">
    <cfRule type="containsBlanks" dxfId="0" priority="1">
      <formula>LEN(TRIM(E16))=0</formula>
    </cfRule>
  </conditionalFormatting>
  <printOptions horizontalCentered="1"/>
  <pageMargins left="0.70866141732283472" right="0.18" top="0.74803149606299213" bottom="0.74803149606299213" header="0.31496062992125984" footer="0.31496062992125984"/>
  <pageSetup paperSize="9" scale="64"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2FFCC-2951-4F6C-906B-4D8BAB22E3FE}">
  <sheetPr codeName="Sheet16">
    <tabColor rgb="FFFFC000"/>
  </sheetPr>
  <dimension ref="A1:Y124"/>
  <sheetViews>
    <sheetView showGridLines="0" view="pageBreakPreview" topLeftCell="C1" zoomScaleNormal="100" zoomScaleSheetLayoutView="100" workbookViewId="0">
      <selection activeCell="E13" sqref="E13"/>
    </sheetView>
  </sheetViews>
  <sheetFormatPr defaultColWidth="9.90625" defaultRowHeight="14"/>
  <cols>
    <col min="1" max="1" width="0.90625" style="1076" customWidth="1"/>
    <col min="2" max="2" width="3.453125" style="1076" customWidth="1"/>
    <col min="3" max="3" width="9.90625" style="1076"/>
    <col min="4" max="5" width="8.08984375" style="1076" customWidth="1"/>
    <col min="6" max="6" width="8.36328125" style="1076" customWidth="1"/>
    <col min="7" max="7" width="6.453125" style="1076" bestFit="1" customWidth="1"/>
    <col min="8" max="8" width="13.08984375" style="1076" customWidth="1"/>
    <col min="9" max="9" width="7.26953125" style="1076" customWidth="1"/>
    <col min="10" max="10" width="8.26953125" style="1076" bestFit="1" customWidth="1"/>
    <col min="11" max="11" width="4.7265625" style="1076" bestFit="1" customWidth="1"/>
    <col min="12" max="12" width="0.7265625" style="1076" customWidth="1"/>
    <col min="13" max="13" width="0.90625" style="1076" customWidth="1"/>
    <col min="14" max="17" width="9.26953125" style="1076" customWidth="1"/>
    <col min="18" max="24" width="9.90625" style="1077"/>
    <col min="25" max="25" width="28.90625" style="1077" bestFit="1" customWidth="1"/>
    <col min="26" max="16384" width="9.90625" style="1077"/>
  </cols>
  <sheetData>
    <row r="1" spans="1:25" ht="24.65" customHeight="1">
      <c r="A1" s="1928" t="s">
        <v>1443</v>
      </c>
      <c r="B1" s="1928"/>
      <c r="C1" s="1928"/>
      <c r="D1" s="1928"/>
      <c r="E1" s="1928"/>
      <c r="F1" s="1928"/>
      <c r="G1" s="1928"/>
      <c r="H1" s="1928"/>
      <c r="I1" s="1928"/>
      <c r="J1" s="1928"/>
      <c r="K1" s="1928"/>
      <c r="L1" s="1928"/>
      <c r="M1" s="1928"/>
    </row>
    <row r="2" spans="1:25" ht="5.5" customHeight="1"/>
    <row r="3" spans="1:25" ht="15" customHeight="1">
      <c r="C3" s="1937" t="s">
        <v>1425</v>
      </c>
      <c r="D3" s="1938"/>
      <c r="E3" s="1938"/>
      <c r="F3" s="1938"/>
      <c r="G3" s="1938"/>
      <c r="H3" s="1938"/>
      <c r="I3" s="1938"/>
      <c r="J3" s="1938"/>
    </row>
    <row r="4" spans="1:25" ht="15" customHeight="1">
      <c r="C4" s="1938"/>
      <c r="D4" s="1938"/>
      <c r="E4" s="1938"/>
      <c r="F4" s="1938"/>
      <c r="G4" s="1938"/>
      <c r="H4" s="1938"/>
      <c r="I4" s="1938"/>
      <c r="J4" s="1938"/>
    </row>
    <row r="5" spans="1:25" ht="15" customHeight="1">
      <c r="C5" s="1938"/>
      <c r="D5" s="1938"/>
      <c r="E5" s="1938"/>
      <c r="F5" s="1938"/>
      <c r="G5" s="1938"/>
      <c r="H5" s="1938"/>
      <c r="I5" s="1938"/>
      <c r="J5" s="1938"/>
    </row>
    <row r="6" spans="1:25" ht="15" customHeight="1">
      <c r="C6" s="1929" t="s">
        <v>1426</v>
      </c>
      <c r="D6" s="1929"/>
      <c r="E6" s="1929"/>
      <c r="F6" s="1929"/>
      <c r="G6" s="1929"/>
      <c r="H6" s="1929"/>
      <c r="I6" s="1929"/>
      <c r="J6" s="1929"/>
      <c r="K6" s="1929"/>
    </row>
    <row r="7" spans="1:25" s="1076" customFormat="1" ht="15" hidden="1" customHeight="1">
      <c r="R7" s="1077"/>
      <c r="S7" s="1077"/>
      <c r="T7" s="1077"/>
      <c r="U7" s="1077"/>
      <c r="V7" s="1077"/>
      <c r="W7" s="1077"/>
      <c r="X7" s="1077"/>
      <c r="Y7" s="1077"/>
    </row>
    <row r="8" spans="1:25" s="1076" customFormat="1" ht="12" customHeight="1">
      <c r="R8" s="1077"/>
      <c r="S8" s="1077"/>
      <c r="T8" s="1077"/>
      <c r="U8" s="1077"/>
      <c r="V8" s="1077"/>
      <c r="W8" s="1077"/>
      <c r="X8" s="1077"/>
      <c r="Y8" s="1077"/>
    </row>
    <row r="9" spans="1:25" s="1076" customFormat="1" ht="15" customHeight="1">
      <c r="A9" s="1105"/>
      <c r="B9" s="1105"/>
      <c r="C9" s="1939" t="s">
        <v>1411</v>
      </c>
      <c r="D9" s="1939"/>
      <c r="E9" s="1939"/>
      <c r="F9" s="1939"/>
      <c r="G9" s="1105"/>
      <c r="H9" s="1105"/>
      <c r="I9" s="1105"/>
      <c r="J9" s="1105"/>
      <c r="K9" s="1105"/>
      <c r="L9" s="1105"/>
      <c r="M9" s="1105"/>
      <c r="R9" s="1077"/>
      <c r="S9" s="1077"/>
      <c r="T9" s="1077"/>
      <c r="U9" s="1077"/>
      <c r="V9" s="1077"/>
      <c r="W9" s="1077"/>
      <c r="X9" s="1077"/>
      <c r="Y9" s="1077"/>
    </row>
    <row r="10" spans="1:25" s="1076" customFormat="1" ht="8.15" customHeight="1">
      <c r="R10" s="1077"/>
      <c r="S10" s="1077"/>
      <c r="T10" s="1077"/>
      <c r="U10" s="1077"/>
      <c r="V10" s="1077"/>
      <c r="W10" s="1077"/>
      <c r="X10" s="1077"/>
      <c r="Y10" s="1077"/>
    </row>
    <row r="11" spans="1:25" s="1076" customFormat="1" ht="15" customHeight="1" thickBot="1">
      <c r="C11" s="1931" t="s">
        <v>1159</v>
      </c>
      <c r="D11" s="1931"/>
      <c r="E11" s="1078" t="s">
        <v>622</v>
      </c>
      <c r="F11" s="1079"/>
      <c r="H11" s="1932" t="s">
        <v>1160</v>
      </c>
      <c r="I11" s="1933"/>
      <c r="J11" s="1080"/>
      <c r="K11" s="1081"/>
      <c r="R11" s="1077"/>
      <c r="S11" s="1077"/>
      <c r="T11" s="1077"/>
      <c r="U11" s="1077"/>
      <c r="V11" s="1077"/>
      <c r="W11" s="1077"/>
      <c r="X11" s="1077"/>
      <c r="Y11" s="1077"/>
    </row>
    <row r="12" spans="1:25" s="1076" customFormat="1" ht="15" customHeight="1" thickBot="1">
      <c r="C12" s="1935" t="s">
        <v>1427</v>
      </c>
      <c r="D12" s="1936"/>
      <c r="E12" s="1069"/>
      <c r="F12" s="1079" t="s">
        <v>1161</v>
      </c>
      <c r="G12" s="1082"/>
      <c r="H12" s="1083" t="s">
        <v>52</v>
      </c>
      <c r="I12" s="1084" t="str">
        <f>IFERROR(1/((1/3.91)+(E12/1000)/E13),"")</f>
        <v/>
      </c>
      <c r="J12" s="1079" t="s">
        <v>1162</v>
      </c>
      <c r="K12" s="1085"/>
      <c r="L12" s="1086"/>
      <c r="R12" s="1077"/>
      <c r="S12" s="1077"/>
      <c r="T12" s="1077"/>
      <c r="U12" s="1077"/>
      <c r="V12" s="1077"/>
      <c r="W12" s="1077"/>
      <c r="X12" s="1077"/>
      <c r="Y12" s="1077"/>
    </row>
    <row r="13" spans="1:25" s="1076" customFormat="1" ht="15" customHeight="1" thickBot="1">
      <c r="C13" s="1935" t="s">
        <v>1163</v>
      </c>
      <c r="D13" s="1936"/>
      <c r="E13" s="1070"/>
      <c r="F13" s="1079" t="s">
        <v>1164</v>
      </c>
      <c r="H13" s="1934" t="s">
        <v>1410</v>
      </c>
      <c r="I13" s="1934"/>
      <c r="J13" s="1934"/>
      <c r="K13" s="1934"/>
      <c r="R13" s="1077"/>
      <c r="S13" s="1077"/>
      <c r="T13" s="1077"/>
      <c r="U13" s="1077"/>
      <c r="V13" s="1077"/>
      <c r="W13" s="1077"/>
      <c r="X13" s="1077"/>
      <c r="Y13" s="1077"/>
    </row>
    <row r="14" spans="1:25" s="1076" customFormat="1" ht="15" customHeight="1">
      <c r="F14" s="1081"/>
      <c r="G14" s="1087"/>
      <c r="H14" s="1934"/>
      <c r="I14" s="1934"/>
      <c r="J14" s="1934"/>
      <c r="K14" s="1934"/>
      <c r="R14" s="1077"/>
      <c r="S14" s="1077"/>
      <c r="T14" s="1077"/>
      <c r="U14" s="1077"/>
      <c r="V14" s="1077"/>
      <c r="W14" s="1077"/>
      <c r="X14" s="1077"/>
      <c r="Y14" s="1077"/>
    </row>
    <row r="15" spans="1:25" s="1076" customFormat="1" ht="15" hidden="1" customHeight="1">
      <c r="R15" s="1077"/>
      <c r="S15" s="1077"/>
      <c r="T15" s="1077"/>
      <c r="U15" s="1077"/>
      <c r="V15" s="1077"/>
      <c r="W15" s="1077"/>
      <c r="X15" s="1077"/>
      <c r="Y15" s="1077"/>
    </row>
    <row r="16" spans="1:25" ht="15" customHeight="1"/>
    <row r="17" spans="1:17" ht="15" hidden="1" customHeight="1"/>
    <row r="18" spans="1:17" ht="15" customHeight="1"/>
    <row r="19" spans="1:17" ht="15" customHeight="1"/>
    <row r="20" spans="1:17" ht="15" customHeight="1"/>
    <row r="21" spans="1:17" ht="15" customHeight="1"/>
    <row r="22" spans="1:17" ht="15" customHeight="1"/>
    <row r="23" spans="1:17" ht="15" customHeight="1"/>
    <row r="24" spans="1:17" customFormat="1" ht="15" customHeight="1">
      <c r="A24" s="1104"/>
      <c r="B24" s="1104"/>
      <c r="C24" s="1104"/>
      <c r="D24" s="1104"/>
      <c r="E24" s="1104"/>
      <c r="F24" s="1104"/>
      <c r="G24" s="1104"/>
      <c r="H24" s="1104"/>
      <c r="I24" s="1104"/>
      <c r="J24" s="1104"/>
      <c r="K24" s="1104"/>
      <c r="L24" s="1104"/>
      <c r="M24" s="1104"/>
    </row>
    <row r="25" spans="1:17" ht="15" customHeight="1"/>
    <row r="26" spans="1:17" ht="15" customHeight="1">
      <c r="C26" s="1940" t="s">
        <v>1412</v>
      </c>
      <c r="D26" s="1940"/>
      <c r="E26" s="1940"/>
      <c r="F26" s="1940"/>
    </row>
    <row r="27" spans="1:17" ht="15" customHeight="1"/>
    <row r="28" spans="1:17" ht="15" customHeight="1" thickBot="1">
      <c r="C28" s="1931" t="s">
        <v>1159</v>
      </c>
      <c r="D28" s="1931"/>
      <c r="E28" s="1078" t="s">
        <v>622</v>
      </c>
      <c r="F28" s="1079"/>
      <c r="H28" s="1932" t="s">
        <v>1160</v>
      </c>
      <c r="I28" s="1933"/>
      <c r="J28" s="1080"/>
      <c r="K28" s="1081"/>
    </row>
    <row r="29" spans="1:17" ht="15" customHeight="1" thickBot="1">
      <c r="C29" s="1935" t="s">
        <v>1427</v>
      </c>
      <c r="D29" s="1936"/>
      <c r="E29" s="1069"/>
      <c r="F29" s="1079" t="s">
        <v>1161</v>
      </c>
      <c r="G29" s="1082"/>
      <c r="H29" s="1083" t="s">
        <v>52</v>
      </c>
      <c r="I29" s="1084" t="str">
        <f>IFERROR(1/((1/1.18)+(E29/1000)/E30),"")</f>
        <v/>
      </c>
      <c r="J29" s="1079" t="s">
        <v>1162</v>
      </c>
      <c r="K29" s="1085"/>
    </row>
    <row r="30" spans="1:17" ht="15" customHeight="1" thickBot="1">
      <c r="C30" s="1935" t="s">
        <v>1163</v>
      </c>
      <c r="D30" s="1936"/>
      <c r="E30" s="1070"/>
      <c r="F30" s="1079" t="s">
        <v>1164</v>
      </c>
      <c r="H30" s="1934" t="s">
        <v>1410</v>
      </c>
      <c r="I30" s="1934"/>
      <c r="J30" s="1934"/>
      <c r="K30" s="1934"/>
    </row>
    <row r="31" spans="1:17" ht="15" customHeight="1">
      <c r="F31" s="1081"/>
      <c r="G31" s="1087"/>
      <c r="H31" s="1934"/>
      <c r="I31" s="1934"/>
      <c r="J31" s="1934"/>
      <c r="K31" s="1934"/>
    </row>
    <row r="32" spans="1:17" ht="15" customHeight="1">
      <c r="C32" s="1077"/>
      <c r="D32" s="1077"/>
      <c r="E32" s="1077"/>
      <c r="F32" s="1077"/>
      <c r="O32" s="1077"/>
      <c r="P32" s="1077"/>
      <c r="Q32" s="1077"/>
    </row>
    <row r="33" spans="1:17" ht="15" customHeight="1">
      <c r="C33" s="1077"/>
      <c r="D33" s="1077"/>
      <c r="E33" s="1077"/>
      <c r="F33" s="1077"/>
      <c r="O33" s="1077"/>
      <c r="P33" s="1077"/>
      <c r="Q33" s="1077"/>
    </row>
    <row r="34" spans="1:17" ht="15" customHeight="1">
      <c r="C34" s="1077"/>
      <c r="D34" s="1077"/>
      <c r="E34" s="1077"/>
      <c r="F34" s="1077"/>
      <c r="O34" s="1077"/>
      <c r="P34" s="1077"/>
      <c r="Q34" s="1077"/>
    </row>
    <row r="35" spans="1:17" ht="15" customHeight="1">
      <c r="C35" s="1077"/>
      <c r="D35" s="1077"/>
      <c r="E35" s="1077"/>
      <c r="F35" s="1077"/>
      <c r="O35" s="1077"/>
      <c r="P35" s="1077"/>
      <c r="Q35" s="1077"/>
    </row>
    <row r="36" spans="1:17" ht="15" customHeight="1">
      <c r="C36" s="1077"/>
      <c r="D36" s="1077"/>
      <c r="E36" s="1077"/>
      <c r="F36" s="1077"/>
      <c r="O36" s="1077"/>
      <c r="P36" s="1077"/>
      <c r="Q36" s="1077"/>
    </row>
    <row r="37" spans="1:17" ht="15" customHeight="1">
      <c r="C37" s="1077"/>
      <c r="D37" s="1077"/>
      <c r="E37" s="1077"/>
      <c r="F37" s="1077"/>
      <c r="O37" s="1077"/>
      <c r="P37" s="1077"/>
      <c r="Q37" s="1077"/>
    </row>
    <row r="38" spans="1:17" ht="15" customHeight="1">
      <c r="C38" s="1077"/>
      <c r="D38" s="1077"/>
      <c r="E38" s="1077"/>
      <c r="F38" s="1077"/>
      <c r="O38" s="1077"/>
      <c r="P38" s="1077"/>
      <c r="Q38" s="1077"/>
    </row>
    <row r="39" spans="1:17" ht="15" customHeight="1">
      <c r="C39" s="1077"/>
      <c r="D39" s="1077"/>
      <c r="E39" s="1077"/>
      <c r="F39" s="1077"/>
      <c r="O39" s="1077"/>
      <c r="P39" s="1077"/>
      <c r="Q39" s="1077"/>
    </row>
    <row r="40" spans="1:17" ht="15" customHeight="1">
      <c r="A40" s="1081"/>
      <c r="B40" s="1081"/>
      <c r="C40" s="1088"/>
      <c r="D40" s="1088"/>
      <c r="E40" s="1088"/>
      <c r="F40" s="1088"/>
      <c r="G40" s="1081"/>
      <c r="H40" s="1081"/>
      <c r="I40" s="1081"/>
      <c r="J40" s="1081"/>
      <c r="K40" s="1081"/>
      <c r="L40" s="1081"/>
      <c r="M40" s="1081"/>
      <c r="O40" s="1077"/>
      <c r="P40" s="1077"/>
      <c r="Q40" s="1077"/>
    </row>
    <row r="41" spans="1:17" ht="15" customHeight="1">
      <c r="A41" s="1089"/>
      <c r="B41" s="1089"/>
      <c r="C41" s="1090"/>
      <c r="D41" s="1090"/>
      <c r="E41" s="1090"/>
      <c r="F41" s="1090"/>
      <c r="G41" s="1089"/>
      <c r="H41" s="1089"/>
      <c r="I41" s="1089"/>
      <c r="J41" s="1089"/>
      <c r="K41" s="1089"/>
      <c r="L41" s="1089"/>
      <c r="M41" s="1089"/>
      <c r="O41" s="1077"/>
      <c r="P41" s="1077"/>
      <c r="Q41" s="1077"/>
    </row>
    <row r="42" spans="1:17" ht="15" customHeight="1">
      <c r="A42" s="1081"/>
      <c r="B42" s="1081"/>
      <c r="C42" s="1088"/>
      <c r="D42" s="1088"/>
      <c r="E42" s="1088"/>
      <c r="F42" s="1088"/>
      <c r="G42" s="1081"/>
      <c r="H42" s="1081"/>
      <c r="I42" s="1081"/>
      <c r="J42" s="1081"/>
      <c r="K42" s="1081"/>
      <c r="L42" s="1081"/>
      <c r="M42" s="1081"/>
      <c r="O42" s="1077"/>
      <c r="P42" s="1077"/>
      <c r="Q42" s="1077"/>
    </row>
    <row r="43" spans="1:17" ht="15" customHeight="1">
      <c r="C43" s="1940" t="s">
        <v>1424</v>
      </c>
      <c r="D43" s="1940"/>
      <c r="E43" s="1940"/>
      <c r="F43" s="1940"/>
      <c r="O43" s="1077"/>
      <c r="P43" s="1077"/>
      <c r="Q43" s="1077"/>
    </row>
    <row r="44" spans="1:17" ht="15" customHeight="1">
      <c r="C44" s="1077"/>
      <c r="D44" s="1077"/>
      <c r="E44" s="1077"/>
      <c r="F44" s="1077"/>
      <c r="O44" s="1077"/>
      <c r="P44" s="1077"/>
      <c r="Q44" s="1077"/>
    </row>
    <row r="45" spans="1:17" ht="15" customHeight="1" thickBot="1">
      <c r="C45" s="1931" t="s">
        <v>1159</v>
      </c>
      <c r="D45" s="1931"/>
      <c r="E45" s="1078" t="s">
        <v>622</v>
      </c>
      <c r="F45" s="1079"/>
      <c r="H45" s="1932" t="s">
        <v>1160</v>
      </c>
      <c r="I45" s="1933"/>
      <c r="J45" s="1080"/>
      <c r="O45" s="1077"/>
      <c r="P45" s="1077"/>
      <c r="Q45" s="1077"/>
    </row>
    <row r="46" spans="1:17" ht="15" customHeight="1" thickBot="1">
      <c r="C46" s="1935" t="s">
        <v>1165</v>
      </c>
      <c r="D46" s="1936"/>
      <c r="E46" s="1069"/>
      <c r="F46" s="1079" t="s">
        <v>1166</v>
      </c>
      <c r="G46" s="1082"/>
      <c r="H46" s="1083" t="s">
        <v>1167</v>
      </c>
      <c r="I46" s="1091" t="str">
        <f>IF(100-E46=100,"",100-E46)</f>
        <v/>
      </c>
      <c r="J46" s="1079" t="s">
        <v>1166</v>
      </c>
      <c r="O46" s="1077"/>
      <c r="P46" s="1077"/>
      <c r="Q46" s="1077"/>
    </row>
    <row r="47" spans="1:17" ht="15" customHeight="1">
      <c r="C47" s="1092"/>
      <c r="D47" s="1092"/>
      <c r="E47" s="1093"/>
      <c r="F47" s="1079"/>
      <c r="H47" s="1934" t="s">
        <v>1410</v>
      </c>
      <c r="I47" s="1934"/>
      <c r="J47" s="1934"/>
      <c r="K47" s="1934"/>
    </row>
    <row r="48" spans="1:17" ht="15" customHeight="1">
      <c r="C48" s="1941"/>
      <c r="D48" s="1941"/>
      <c r="E48" s="1093"/>
      <c r="F48" s="1079"/>
      <c r="G48" s="1087"/>
      <c r="H48" s="1934"/>
      <c r="I48" s="1934"/>
      <c r="J48" s="1934"/>
      <c r="K48" s="1934"/>
    </row>
    <row r="49" spans="3:25" ht="15" customHeight="1">
      <c r="C49" s="1941"/>
      <c r="D49" s="1941"/>
      <c r="E49" s="1093"/>
      <c r="F49" s="1079"/>
      <c r="H49" s="1082"/>
    </row>
    <row r="50" spans="3:25" ht="15" customHeight="1">
      <c r="C50" s="1092"/>
      <c r="D50" s="1092"/>
      <c r="E50" s="1093"/>
      <c r="F50" s="1079"/>
      <c r="G50" s="1080"/>
      <c r="H50" s="1082"/>
    </row>
    <row r="51" spans="3:25" ht="15" customHeight="1">
      <c r="C51" s="1092"/>
      <c r="D51" s="1092"/>
      <c r="E51" s="1093"/>
      <c r="F51" s="1094"/>
      <c r="G51" s="1080"/>
      <c r="H51" s="1082"/>
    </row>
    <row r="52" spans="3:25" ht="15" customHeight="1">
      <c r="C52" s="1092"/>
      <c r="D52" s="1092"/>
      <c r="E52" s="1093"/>
      <c r="F52" s="1094"/>
      <c r="G52" s="1930" t="s">
        <v>1169</v>
      </c>
      <c r="H52" s="1930"/>
      <c r="I52" s="1930"/>
      <c r="J52" s="1930"/>
    </row>
    <row r="53" spans="3:25" ht="15" customHeight="1">
      <c r="C53" s="1092"/>
      <c r="D53" s="1092"/>
      <c r="E53" s="1093"/>
      <c r="F53" s="1079"/>
      <c r="G53" s="1077"/>
      <c r="H53" s="1082"/>
    </row>
    <row r="54" spans="3:25" ht="15" customHeight="1">
      <c r="C54" s="1942"/>
      <c r="D54" s="1942"/>
      <c r="E54" s="1093"/>
      <c r="F54" s="1079"/>
      <c r="H54" s="1082"/>
    </row>
    <row r="55" spans="3:25" ht="15" customHeight="1">
      <c r="C55" s="1942"/>
      <c r="D55" s="1942"/>
    </row>
    <row r="59" spans="3:25" ht="24">
      <c r="W59" s="1095" t="s">
        <v>887</v>
      </c>
      <c r="X59" s="1095" t="s">
        <v>1170</v>
      </c>
      <c r="Y59" s="1096" t="s">
        <v>1171</v>
      </c>
    </row>
    <row r="60" spans="3:25">
      <c r="W60" s="1943" t="s">
        <v>1172</v>
      </c>
      <c r="X60" s="1097" t="s">
        <v>1173</v>
      </c>
      <c r="Y60" s="1098">
        <v>0.05</v>
      </c>
    </row>
    <row r="61" spans="3:25">
      <c r="W61" s="1944"/>
      <c r="X61" s="1099" t="s">
        <v>1174</v>
      </c>
      <c r="Y61" s="1100">
        <v>4.4999999999999998E-2</v>
      </c>
    </row>
    <row r="62" spans="3:25">
      <c r="W62" s="1944"/>
      <c r="X62" s="1097" t="s">
        <v>1175</v>
      </c>
      <c r="Y62" s="1098">
        <v>4.4999999999999998E-2</v>
      </c>
    </row>
    <row r="63" spans="3:25" ht="14.25" customHeight="1">
      <c r="W63" s="1944"/>
      <c r="X63" s="1097" t="s">
        <v>1176</v>
      </c>
      <c r="Y63" s="1098">
        <v>4.2000000000000003E-2</v>
      </c>
    </row>
    <row r="64" spans="3:25" ht="18.75" customHeight="1">
      <c r="W64" s="1944"/>
      <c r="X64" s="1097" t="s">
        <v>1177</v>
      </c>
      <c r="Y64" s="1098">
        <v>3.7999999999999999E-2</v>
      </c>
    </row>
    <row r="65" spans="23:25" ht="18.75" customHeight="1">
      <c r="W65" s="1944"/>
      <c r="X65" s="1097" t="s">
        <v>1178</v>
      </c>
      <c r="Y65" s="1098">
        <v>3.5999999999999997E-2</v>
      </c>
    </row>
    <row r="66" spans="23:25" ht="18.75" customHeight="1">
      <c r="W66" s="1944"/>
      <c r="X66" s="1099" t="s">
        <v>1179</v>
      </c>
      <c r="Y66" s="1100">
        <v>3.5999999999999997E-2</v>
      </c>
    </row>
    <row r="67" spans="23:25" ht="18.75" customHeight="1">
      <c r="W67" s="1944"/>
      <c r="X67" s="1099" t="s">
        <v>1180</v>
      </c>
      <c r="Y67" s="1100">
        <v>3.5000000000000003E-2</v>
      </c>
    </row>
    <row r="68" spans="23:25" ht="18.75" customHeight="1">
      <c r="W68" s="1944"/>
      <c r="X68" s="1099" t="s">
        <v>1181</v>
      </c>
      <c r="Y68" s="1100">
        <v>3.5000000000000003E-2</v>
      </c>
    </row>
    <row r="69" spans="23:25">
      <c r="W69" s="1944"/>
      <c r="X69" s="1099" t="s">
        <v>1182</v>
      </c>
      <c r="Y69" s="1100">
        <v>3.3000000000000002E-2</v>
      </c>
    </row>
    <row r="70" spans="23:25">
      <c r="W70" s="1945"/>
      <c r="X70" s="1099" t="s">
        <v>1183</v>
      </c>
      <c r="Y70" s="1100">
        <v>3.3000000000000002E-2</v>
      </c>
    </row>
    <row r="71" spans="23:25">
      <c r="W71" s="1943" t="s">
        <v>1184</v>
      </c>
      <c r="X71" s="1099" t="s">
        <v>1185</v>
      </c>
      <c r="Y71" s="1100">
        <v>4.7E-2</v>
      </c>
    </row>
    <row r="72" spans="23:25">
      <c r="W72" s="1944"/>
      <c r="X72" s="1099" t="s">
        <v>1186</v>
      </c>
      <c r="Y72" s="1100">
        <v>4.2999999999999997E-2</v>
      </c>
    </row>
    <row r="73" spans="23:25">
      <c r="W73" s="1944"/>
      <c r="X73" s="1099" t="s">
        <v>1187</v>
      </c>
      <c r="Y73" s="1100">
        <v>3.7999999999999999E-2</v>
      </c>
    </row>
    <row r="74" spans="23:25">
      <c r="W74" s="1944"/>
      <c r="X74" s="1097" t="s">
        <v>1188</v>
      </c>
      <c r="Y74" s="1098">
        <v>3.7999999999999999E-2</v>
      </c>
    </row>
    <row r="75" spans="23:25">
      <c r="W75" s="1944"/>
      <c r="X75" s="1099" t="s">
        <v>1189</v>
      </c>
      <c r="Y75" s="1100">
        <v>3.7999999999999999E-2</v>
      </c>
    </row>
    <row r="76" spans="23:25">
      <c r="W76" s="1944"/>
      <c r="X76" s="1097" t="s">
        <v>1190</v>
      </c>
      <c r="Y76" s="1098">
        <v>3.5999999999999997E-2</v>
      </c>
    </row>
    <row r="77" spans="23:25">
      <c r="W77" s="1944"/>
      <c r="X77" s="1099" t="s">
        <v>1191</v>
      </c>
      <c r="Y77" s="1100">
        <v>3.5999999999999997E-2</v>
      </c>
    </row>
    <row r="78" spans="23:25">
      <c r="W78" s="1944"/>
      <c r="X78" s="1097" t="s">
        <v>1192</v>
      </c>
      <c r="Y78" s="1098">
        <v>3.5000000000000003E-2</v>
      </c>
    </row>
    <row r="79" spans="23:25">
      <c r="W79" s="1944"/>
      <c r="X79" s="1099" t="s">
        <v>1193</v>
      </c>
      <c r="Y79" s="1100">
        <v>3.4000000000000002E-2</v>
      </c>
    </row>
    <row r="80" spans="23:25">
      <c r="W80" s="1944"/>
      <c r="X80" s="1099" t="s">
        <v>1194</v>
      </c>
      <c r="Y80" s="1100">
        <v>3.4000000000000002E-2</v>
      </c>
    </row>
    <row r="81" spans="23:25">
      <c r="W81" s="1944"/>
      <c r="X81" s="1097" t="s">
        <v>1195</v>
      </c>
      <c r="Y81" s="1098">
        <v>3.4000000000000002E-2</v>
      </c>
    </row>
    <row r="82" spans="23:25">
      <c r="W82" s="1945"/>
      <c r="X82" s="1097" t="s">
        <v>1196</v>
      </c>
      <c r="Y82" s="1098">
        <v>3.3000000000000002E-2</v>
      </c>
    </row>
    <row r="83" spans="23:25">
      <c r="W83" s="1943" t="s">
        <v>1197</v>
      </c>
      <c r="X83" s="1101" t="s">
        <v>1198</v>
      </c>
      <c r="Y83" s="1102">
        <v>5.1999999999999998E-2</v>
      </c>
    </row>
    <row r="84" spans="23:25">
      <c r="W84" s="1944"/>
      <c r="X84" s="1101" t="s">
        <v>1199</v>
      </c>
      <c r="Y84" s="1102">
        <v>5.1999999999999998E-2</v>
      </c>
    </row>
    <row r="85" spans="23:25">
      <c r="W85" s="1944"/>
      <c r="X85" s="1101" t="s">
        <v>1200</v>
      </c>
      <c r="Y85" s="1102">
        <v>0.04</v>
      </c>
    </row>
    <row r="86" spans="23:25">
      <c r="W86" s="1945"/>
      <c r="X86" s="1101" t="s">
        <v>1201</v>
      </c>
      <c r="Y86" s="1102">
        <v>0.04</v>
      </c>
    </row>
    <row r="87" spans="23:25">
      <c r="W87" s="1943" t="s">
        <v>1202</v>
      </c>
      <c r="X87" s="1099" t="s">
        <v>1203</v>
      </c>
      <c r="Y87" s="1100">
        <v>3.9E-2</v>
      </c>
    </row>
    <row r="88" spans="23:25">
      <c r="W88" s="1944"/>
      <c r="X88" s="1097" t="s">
        <v>1204</v>
      </c>
      <c r="Y88" s="1098">
        <v>3.7999999999999999E-2</v>
      </c>
    </row>
    <row r="89" spans="23:25">
      <c r="W89" s="1944"/>
      <c r="X89" s="1099" t="s">
        <v>1205</v>
      </c>
      <c r="Y89" s="1100">
        <v>3.6999999999999998E-2</v>
      </c>
    </row>
    <row r="90" spans="23:25">
      <c r="W90" s="1944"/>
      <c r="X90" s="1097" t="s">
        <v>1206</v>
      </c>
      <c r="Y90" s="1098">
        <v>3.7999999999999999E-2</v>
      </c>
    </row>
    <row r="91" spans="23:25">
      <c r="W91" s="1945"/>
      <c r="X91" s="1097" t="s">
        <v>1207</v>
      </c>
      <c r="Y91" s="1098">
        <v>3.5999999999999997E-2</v>
      </c>
    </row>
    <row r="92" spans="23:25">
      <c r="W92" s="1943" t="s">
        <v>1208</v>
      </c>
      <c r="X92" s="1099" t="s">
        <v>1209</v>
      </c>
      <c r="Y92" s="1100">
        <v>4.7E-2</v>
      </c>
    </row>
    <row r="93" spans="23:25">
      <c r="W93" s="1945"/>
      <c r="X93" s="1099" t="s">
        <v>1210</v>
      </c>
      <c r="Y93" s="1100">
        <v>3.7999999999999999E-2</v>
      </c>
    </row>
    <row r="94" spans="23:25">
      <c r="W94" s="1099" t="s">
        <v>1211</v>
      </c>
      <c r="X94" s="1097" t="s">
        <v>1211</v>
      </c>
      <c r="Y94" s="1098">
        <v>6.4000000000000001E-2</v>
      </c>
    </row>
    <row r="95" spans="23:25">
      <c r="W95" s="1099" t="s">
        <v>1212</v>
      </c>
      <c r="X95" s="1099" t="s">
        <v>1213</v>
      </c>
      <c r="Y95" s="1100">
        <v>0.04</v>
      </c>
    </row>
    <row r="96" spans="23:25">
      <c r="W96" s="1943" t="s">
        <v>1214</v>
      </c>
      <c r="X96" s="1097" t="s">
        <v>1215</v>
      </c>
      <c r="Y96" s="1098">
        <v>0.04</v>
      </c>
    </row>
    <row r="97" spans="23:25">
      <c r="W97" s="1944"/>
      <c r="X97" s="1097" t="s">
        <v>1216</v>
      </c>
      <c r="Y97" s="1098">
        <v>3.4000000000000002E-2</v>
      </c>
    </row>
    <row r="98" spans="23:25">
      <c r="W98" s="1945"/>
      <c r="X98" s="1097" t="s">
        <v>1217</v>
      </c>
      <c r="Y98" s="1098">
        <v>2.8000000000000001E-2</v>
      </c>
    </row>
    <row r="99" spans="23:25">
      <c r="W99" s="1943" t="s">
        <v>1218</v>
      </c>
      <c r="X99" s="1097" t="s">
        <v>1219</v>
      </c>
      <c r="Y99" s="1098">
        <v>4.2000000000000003E-2</v>
      </c>
    </row>
    <row r="100" spans="23:25">
      <c r="W100" s="1944"/>
      <c r="X100" s="1097" t="s">
        <v>1220</v>
      </c>
      <c r="Y100" s="1098">
        <v>3.7999999999999999E-2</v>
      </c>
    </row>
    <row r="101" spans="23:25">
      <c r="W101" s="1945"/>
      <c r="X101" s="1099" t="s">
        <v>1221</v>
      </c>
      <c r="Y101" s="1100">
        <v>3.4000000000000002E-2</v>
      </c>
    </row>
    <row r="102" spans="23:25">
      <c r="W102" s="1943" t="s">
        <v>1222</v>
      </c>
      <c r="X102" s="1097" t="s">
        <v>1223</v>
      </c>
      <c r="Y102" s="1098">
        <v>3.4000000000000002E-2</v>
      </c>
    </row>
    <row r="103" spans="23:25">
      <c r="W103" s="1944"/>
      <c r="X103" s="1097" t="s">
        <v>1224</v>
      </c>
      <c r="Y103" s="1098">
        <v>3.5999999999999997E-2</v>
      </c>
    </row>
    <row r="104" spans="23:25">
      <c r="W104" s="1944"/>
      <c r="X104" s="1097" t="s">
        <v>1225</v>
      </c>
      <c r="Y104" s="1097">
        <v>3.6999999999999998E-2</v>
      </c>
    </row>
    <row r="105" spans="23:25">
      <c r="W105" s="1944"/>
      <c r="X105" s="1097" t="s">
        <v>1226</v>
      </c>
      <c r="Y105" s="1098">
        <v>0.04</v>
      </c>
    </row>
    <row r="106" spans="23:25">
      <c r="W106" s="1945"/>
      <c r="X106" s="1097" t="s">
        <v>1227</v>
      </c>
      <c r="Y106" s="1098">
        <v>4.2000000000000003E-2</v>
      </c>
    </row>
    <row r="107" spans="23:25">
      <c r="W107" s="1943" t="s">
        <v>1228</v>
      </c>
      <c r="X107" s="1099" t="s">
        <v>1229</v>
      </c>
      <c r="Y107" s="1100">
        <v>2.9000000000000001E-2</v>
      </c>
    </row>
    <row r="108" spans="23:25">
      <c r="W108" s="1944"/>
      <c r="X108" s="1097" t="s">
        <v>1230</v>
      </c>
      <c r="Y108" s="1098">
        <v>2.3E-2</v>
      </c>
    </row>
    <row r="109" spans="23:25">
      <c r="W109" s="1944"/>
      <c r="X109" s="1097" t="s">
        <v>1231</v>
      </c>
      <c r="Y109" s="1098">
        <v>2.4E-2</v>
      </c>
    </row>
    <row r="110" spans="23:25">
      <c r="W110" s="1944"/>
      <c r="X110" s="1099" t="s">
        <v>1232</v>
      </c>
      <c r="Y110" s="1100">
        <v>2.7E-2</v>
      </c>
    </row>
    <row r="111" spans="23:25">
      <c r="W111" s="1945"/>
      <c r="X111" s="1099" t="s">
        <v>1233</v>
      </c>
      <c r="Y111" s="1100">
        <v>2.8000000000000001E-2</v>
      </c>
    </row>
    <row r="112" spans="23:25">
      <c r="W112" s="1943" t="s">
        <v>1234</v>
      </c>
      <c r="X112" s="1097" t="s">
        <v>1235</v>
      </c>
      <c r="Y112" s="1098">
        <v>3.4000000000000002E-2</v>
      </c>
    </row>
    <row r="113" spans="23:25">
      <c r="W113" s="1944"/>
      <c r="X113" s="1099" t="s">
        <v>1236</v>
      </c>
      <c r="Y113" s="1100">
        <v>2.5999999999999999E-2</v>
      </c>
    </row>
    <row r="114" spans="23:25">
      <c r="W114" s="1945"/>
      <c r="X114" s="1099" t="s">
        <v>1237</v>
      </c>
      <c r="Y114" s="1100">
        <v>0.04</v>
      </c>
    </row>
    <row r="115" spans="23:25">
      <c r="W115" s="1943" t="s">
        <v>1238</v>
      </c>
      <c r="X115" s="1097" t="s">
        <v>1239</v>
      </c>
      <c r="Y115" s="1098">
        <v>2.1999999999999999E-2</v>
      </c>
    </row>
    <row r="116" spans="23:25">
      <c r="W116" s="1944"/>
      <c r="X116" s="1099" t="s">
        <v>1240</v>
      </c>
      <c r="Y116" s="1100">
        <v>3.5999999999999997E-2</v>
      </c>
    </row>
    <row r="117" spans="23:25">
      <c r="W117" s="1944"/>
      <c r="X117" s="1099" t="s">
        <v>1241</v>
      </c>
      <c r="Y117" s="1100">
        <v>3.4000000000000002E-2</v>
      </c>
    </row>
    <row r="118" spans="23:25">
      <c r="W118" s="1944"/>
      <c r="X118" s="1099" t="s">
        <v>1242</v>
      </c>
      <c r="Y118" s="1100">
        <v>2.8000000000000001E-2</v>
      </c>
    </row>
    <row r="119" spans="23:25">
      <c r="W119" s="1945"/>
      <c r="X119" s="1099" t="s">
        <v>1243</v>
      </c>
      <c r="Y119" s="1100">
        <v>3.5000000000000003E-2</v>
      </c>
    </row>
    <row r="120" spans="23:25">
      <c r="W120" s="1943" t="s">
        <v>1244</v>
      </c>
      <c r="X120" s="1099" t="s">
        <v>1245</v>
      </c>
      <c r="Y120" s="1100">
        <v>0.04</v>
      </c>
    </row>
    <row r="121" spans="23:25">
      <c r="W121" s="1945"/>
      <c r="X121" s="1099" t="s">
        <v>1246</v>
      </c>
      <c r="Y121" s="1100">
        <v>5.1999999999999998E-2</v>
      </c>
    </row>
    <row r="122" spans="23:25">
      <c r="W122" s="1099" t="s">
        <v>1247</v>
      </c>
      <c r="X122" s="1097"/>
      <c r="Y122" s="1098"/>
    </row>
    <row r="123" spans="23:25">
      <c r="W123" s="1076"/>
      <c r="X123" s="1076"/>
      <c r="Y123" s="1103"/>
    </row>
    <row r="124" spans="23:25">
      <c r="W124" s="1076"/>
      <c r="X124" s="1076"/>
      <c r="Y124" s="1103"/>
    </row>
  </sheetData>
  <sheetProtection algorithmName="SHA-512" hashValue="SSjcTrTs+26G8T7P64++355bOUJNTaYySdbVvoBYaftmIca7YI5uBlrOGjDxc9YMuLdi1w5/6rbNGd0fjfzUFQ==" saltValue="+QlRNuOSLoUbSk+CwhBzHA==" spinCount="100000" sheet="1" objects="1" scenarios="1" formatCells="0"/>
  <mergeCells count="35">
    <mergeCell ref="W120:W121"/>
    <mergeCell ref="H47:K48"/>
    <mergeCell ref="W87:W91"/>
    <mergeCell ref="W92:W93"/>
    <mergeCell ref="W96:W98"/>
    <mergeCell ref="W99:W101"/>
    <mergeCell ref="W102:W106"/>
    <mergeCell ref="W107:W111"/>
    <mergeCell ref="W83:W86"/>
    <mergeCell ref="C54:D55"/>
    <mergeCell ref="W60:W70"/>
    <mergeCell ref="W71:W82"/>
    <mergeCell ref="W112:W114"/>
    <mergeCell ref="W115:W119"/>
    <mergeCell ref="C9:F9"/>
    <mergeCell ref="C26:F26"/>
    <mergeCell ref="C46:D46"/>
    <mergeCell ref="C48:D49"/>
    <mergeCell ref="C43:F43"/>
    <mergeCell ref="A1:M1"/>
    <mergeCell ref="C6:K6"/>
    <mergeCell ref="G52:J52"/>
    <mergeCell ref="C45:D45"/>
    <mergeCell ref="H45:I45"/>
    <mergeCell ref="H13:K14"/>
    <mergeCell ref="C11:D11"/>
    <mergeCell ref="H11:I11"/>
    <mergeCell ref="C12:D12"/>
    <mergeCell ref="C13:D13"/>
    <mergeCell ref="C28:D28"/>
    <mergeCell ref="H28:I28"/>
    <mergeCell ref="C29:D29"/>
    <mergeCell ref="C30:D30"/>
    <mergeCell ref="H30:K31"/>
    <mergeCell ref="C3:J5"/>
  </mergeCells>
  <phoneticPr fontId="2"/>
  <pageMargins left="0.31496062992125984" right="0.11811023622047245" top="0.35433070866141736" bottom="0.15748031496062992" header="0.11811023622047245"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2E0F3-741A-4750-90EB-D56BCCE6102B}">
  <sheetPr codeName="Sheet41">
    <pageSetUpPr fitToPage="1"/>
  </sheetPr>
  <dimension ref="A1:N35"/>
  <sheetViews>
    <sheetView view="pageBreakPreview" zoomScaleNormal="100" zoomScaleSheetLayoutView="100" workbookViewId="0">
      <selection activeCell="A3" sqref="A3"/>
    </sheetView>
  </sheetViews>
  <sheetFormatPr defaultRowHeight="13"/>
  <cols>
    <col min="1" max="1" width="4.08984375" customWidth="1"/>
  </cols>
  <sheetData>
    <row r="1" spans="1:14" ht="16.5">
      <c r="A1" s="1028" t="s">
        <v>1416</v>
      </c>
    </row>
    <row r="4" spans="1:14" ht="24" customHeight="1">
      <c r="B4" s="1074" t="s">
        <v>1404</v>
      </c>
      <c r="C4" s="1073"/>
      <c r="D4" s="1073"/>
      <c r="E4" s="1073"/>
      <c r="F4" s="1073"/>
      <c r="G4" s="1073"/>
      <c r="H4" s="1073"/>
      <c r="I4" s="1073"/>
      <c r="J4" s="1073"/>
      <c r="K4" s="1073"/>
      <c r="L4" s="1073"/>
      <c r="M4" s="1073"/>
    </row>
    <row r="5" spans="1:14" ht="20.149999999999999" customHeight="1">
      <c r="B5" s="1948" t="s">
        <v>1415</v>
      </c>
      <c r="C5" s="1948"/>
      <c r="D5" s="1948"/>
      <c r="E5" s="1948"/>
      <c r="F5" s="1948"/>
      <c r="G5" s="1948"/>
      <c r="H5" s="1948"/>
      <c r="I5" s="1948"/>
      <c r="J5" s="1948"/>
      <c r="K5" s="1948"/>
      <c r="L5" s="1948"/>
      <c r="M5" s="1948"/>
      <c r="N5" s="1073"/>
    </row>
    <row r="6" spans="1:14" ht="20.149999999999999" customHeight="1">
      <c r="B6" s="1949" t="s">
        <v>1417</v>
      </c>
      <c r="C6" s="1949"/>
      <c r="D6" s="1949"/>
      <c r="E6" s="1949"/>
      <c r="F6" s="1949"/>
      <c r="G6" s="1949"/>
      <c r="H6" s="1949"/>
      <c r="I6" s="1949"/>
      <c r="J6" s="1949"/>
      <c r="K6" s="1949"/>
      <c r="L6" s="1949"/>
      <c r="M6" s="1949"/>
      <c r="N6" s="1949"/>
    </row>
    <row r="7" spans="1:14" ht="20.149999999999999" customHeight="1">
      <c r="B7" s="1947" t="s">
        <v>1418</v>
      </c>
      <c r="C7" s="1947"/>
      <c r="D7" s="1947"/>
      <c r="E7" s="1947"/>
      <c r="F7" s="1947"/>
      <c r="G7" s="1947"/>
      <c r="H7" s="1947"/>
      <c r="I7" s="1947"/>
      <c r="J7" s="1947"/>
      <c r="K7" s="1947"/>
      <c r="L7" s="1947"/>
      <c r="M7" s="1947"/>
      <c r="N7" s="1073"/>
    </row>
    <row r="8" spans="1:14" ht="20.149999999999999" customHeight="1">
      <c r="B8" s="1947" t="s">
        <v>1419</v>
      </c>
      <c r="C8" s="1947"/>
      <c r="D8" s="1947"/>
      <c r="E8" s="1947"/>
      <c r="F8" s="1947"/>
      <c r="G8" s="1947"/>
      <c r="H8" s="1947"/>
      <c r="I8" s="1947"/>
      <c r="J8" s="1947"/>
      <c r="K8" s="1947"/>
      <c r="L8" s="1947"/>
      <c r="M8" s="1947"/>
      <c r="N8" s="1073"/>
    </row>
    <row r="9" spans="1:14" ht="6" customHeight="1">
      <c r="B9" s="1075"/>
      <c r="C9" s="1075"/>
      <c r="D9" s="1075"/>
      <c r="E9" s="1075"/>
      <c r="F9" s="1075"/>
      <c r="G9" s="1075"/>
      <c r="H9" s="1075"/>
      <c r="I9" s="1075"/>
      <c r="J9" s="1075"/>
      <c r="K9" s="1075"/>
      <c r="L9" s="1075"/>
      <c r="M9" s="1075"/>
    </row>
    <row r="10" spans="1:14" ht="14">
      <c r="B10" s="1947" t="s">
        <v>1420</v>
      </c>
      <c r="C10" s="1947"/>
      <c r="D10" s="1947"/>
      <c r="E10" s="1947"/>
      <c r="F10" s="1947"/>
      <c r="G10" s="1947"/>
      <c r="H10" s="1947"/>
      <c r="I10" s="1947"/>
      <c r="J10" s="1947"/>
      <c r="K10" s="1947"/>
      <c r="L10" s="1947"/>
      <c r="M10" s="1947"/>
    </row>
    <row r="11" spans="1:14">
      <c r="B11" s="1024"/>
    </row>
    <row r="15" spans="1:14" ht="24" customHeight="1">
      <c r="B15" s="1028" t="s">
        <v>1405</v>
      </c>
    </row>
    <row r="16" spans="1:14" s="1" customFormat="1" ht="20.149999999999999" customHeight="1">
      <c r="B16" s="1948" t="s">
        <v>1421</v>
      </c>
      <c r="C16" s="1948"/>
      <c r="D16" s="1948"/>
      <c r="E16" s="1948"/>
      <c r="F16" s="1948"/>
      <c r="G16" s="1948"/>
      <c r="H16" s="1948"/>
      <c r="I16" s="1948"/>
      <c r="J16" s="1948"/>
      <c r="K16" s="1948"/>
      <c r="L16" s="1948"/>
      <c r="M16" s="1948"/>
    </row>
    <row r="17" spans="2:14" s="1" customFormat="1" ht="18" customHeight="1">
      <c r="B17" s="1946" t="s">
        <v>1428</v>
      </c>
      <c r="C17" s="1946"/>
      <c r="D17" s="1946"/>
      <c r="E17" s="1946"/>
      <c r="F17" s="1946"/>
      <c r="G17" s="1946"/>
      <c r="H17" s="1946"/>
      <c r="I17" s="1946"/>
      <c r="J17" s="1946"/>
      <c r="K17" s="1946"/>
      <c r="L17" s="1946"/>
      <c r="M17" s="1946"/>
      <c r="N17" s="1946"/>
    </row>
    <row r="18" spans="2:14" s="1" customFormat="1" ht="18" customHeight="1">
      <c r="B18" s="1946"/>
      <c r="C18" s="1946"/>
      <c r="D18" s="1946"/>
      <c r="E18" s="1946"/>
      <c r="F18" s="1946"/>
      <c r="G18" s="1946"/>
      <c r="H18" s="1946"/>
      <c r="I18" s="1946"/>
      <c r="J18" s="1946"/>
      <c r="K18" s="1946"/>
      <c r="L18" s="1946"/>
      <c r="M18" s="1946"/>
      <c r="N18" s="1946"/>
    </row>
    <row r="19" spans="2:14" s="1" customFormat="1" ht="18" customHeight="1">
      <c r="B19" s="1946"/>
      <c r="C19" s="1946"/>
      <c r="D19" s="1946"/>
      <c r="E19" s="1946"/>
      <c r="F19" s="1946"/>
      <c r="G19" s="1946"/>
      <c r="H19" s="1946"/>
      <c r="I19" s="1946"/>
      <c r="J19" s="1946"/>
      <c r="K19" s="1946"/>
      <c r="L19" s="1946"/>
      <c r="M19" s="1946"/>
      <c r="N19" s="1946"/>
    </row>
    <row r="20" spans="2:14" s="1" customFormat="1" ht="18" customHeight="1">
      <c r="B20" s="1950" t="s">
        <v>1430</v>
      </c>
      <c r="C20" s="1950"/>
      <c r="D20" s="1950"/>
      <c r="E20" s="1950"/>
      <c r="F20" s="1950"/>
      <c r="G20" s="1950"/>
      <c r="H20" s="1950"/>
      <c r="I20" s="1950"/>
      <c r="J20" s="1950"/>
      <c r="K20" s="1950"/>
      <c r="L20" s="1950"/>
      <c r="M20" s="1950"/>
      <c r="N20" s="1950"/>
    </row>
    <row r="21" spans="2:14" s="1" customFormat="1" ht="18" customHeight="1">
      <c r="B21" s="1950"/>
      <c r="C21" s="1950"/>
      <c r="D21" s="1950"/>
      <c r="E21" s="1950"/>
      <c r="F21" s="1950"/>
      <c r="G21" s="1950"/>
      <c r="H21" s="1950"/>
      <c r="I21" s="1950"/>
      <c r="J21" s="1950"/>
      <c r="K21" s="1950"/>
      <c r="L21" s="1950"/>
      <c r="M21" s="1950"/>
      <c r="N21" s="1950"/>
    </row>
    <row r="25" spans="2:14" hidden="1"/>
    <row r="26" spans="2:14" hidden="1"/>
    <row r="28" spans="2:14" ht="16.5">
      <c r="B28" s="1028" t="s">
        <v>1406</v>
      </c>
    </row>
    <row r="29" spans="2:14" ht="20.149999999999999" customHeight="1">
      <c r="B29" s="1949" t="s">
        <v>1422</v>
      </c>
      <c r="C29" s="1949"/>
      <c r="D29" s="1949"/>
      <c r="E29" s="1949"/>
      <c r="F29" s="1949"/>
      <c r="G29" s="1949"/>
      <c r="H29" s="1949"/>
      <c r="I29" s="1949"/>
      <c r="J29" s="1949"/>
      <c r="K29" s="1949"/>
      <c r="L29" s="1949"/>
      <c r="M29" s="1949"/>
      <c r="N29" s="1949"/>
    </row>
    <row r="30" spans="2:14" ht="18" customHeight="1">
      <c r="B30" s="1946" t="s">
        <v>1429</v>
      </c>
      <c r="C30" s="1946"/>
      <c r="D30" s="1946"/>
      <c r="E30" s="1946"/>
      <c r="F30" s="1946"/>
      <c r="G30" s="1946"/>
      <c r="H30" s="1946"/>
      <c r="I30" s="1946"/>
      <c r="J30" s="1946"/>
      <c r="K30" s="1946"/>
      <c r="L30" s="1946"/>
      <c r="M30" s="1946"/>
      <c r="N30" s="1946"/>
    </row>
    <row r="31" spans="2:14" ht="18" customHeight="1">
      <c r="B31" s="1946"/>
      <c r="C31" s="1946"/>
      <c r="D31" s="1946"/>
      <c r="E31" s="1946"/>
      <c r="F31" s="1946"/>
      <c r="G31" s="1946"/>
      <c r="H31" s="1946"/>
      <c r="I31" s="1946"/>
      <c r="J31" s="1946"/>
      <c r="K31" s="1946"/>
      <c r="L31" s="1946"/>
      <c r="M31" s="1946"/>
      <c r="N31" s="1946"/>
    </row>
    <row r="32" spans="2:14" ht="18" customHeight="1">
      <c r="B32" s="1946"/>
      <c r="C32" s="1946"/>
      <c r="D32" s="1946"/>
      <c r="E32" s="1946"/>
      <c r="F32" s="1946"/>
      <c r="G32" s="1946"/>
      <c r="H32" s="1946"/>
      <c r="I32" s="1946"/>
      <c r="J32" s="1946"/>
      <c r="K32" s="1946"/>
      <c r="L32" s="1946"/>
      <c r="M32" s="1946"/>
      <c r="N32" s="1946"/>
    </row>
    <row r="33" spans="2:14" ht="18" customHeight="1">
      <c r="B33" s="1946" t="s">
        <v>1423</v>
      </c>
      <c r="C33" s="1946"/>
      <c r="D33" s="1946"/>
      <c r="E33" s="1946"/>
      <c r="F33" s="1946"/>
      <c r="G33" s="1946"/>
      <c r="H33" s="1946"/>
      <c r="I33" s="1946"/>
      <c r="J33" s="1946"/>
      <c r="K33" s="1946"/>
      <c r="L33" s="1946"/>
      <c r="M33" s="1946"/>
      <c r="N33" s="1946"/>
    </row>
    <row r="34" spans="2:14" ht="18" customHeight="1">
      <c r="B34" s="1946"/>
      <c r="C34" s="1946"/>
      <c r="D34" s="1946"/>
      <c r="E34" s="1946"/>
      <c r="F34" s="1946"/>
      <c r="G34" s="1946"/>
      <c r="H34" s="1946"/>
      <c r="I34" s="1946"/>
      <c r="J34" s="1946"/>
      <c r="K34" s="1946"/>
      <c r="L34" s="1946"/>
      <c r="M34" s="1946"/>
      <c r="N34" s="1946"/>
    </row>
    <row r="35" spans="2:14" ht="18" customHeight="1">
      <c r="B35" s="1946"/>
      <c r="C35" s="1946"/>
      <c r="D35" s="1946"/>
      <c r="E35" s="1946"/>
      <c r="F35" s="1946"/>
      <c r="G35" s="1946"/>
      <c r="H35" s="1946"/>
      <c r="I35" s="1946"/>
      <c r="J35" s="1946"/>
      <c r="K35" s="1946"/>
      <c r="L35" s="1946"/>
      <c r="M35" s="1946"/>
      <c r="N35" s="1946"/>
    </row>
  </sheetData>
  <sheetProtection algorithmName="SHA-512" hashValue="Icgp+PX8eVlt6QXG13UgKsfx9rNcfJNKwIsECsDbfzkKxb+dEtFtpm7KsJr9/e2exVa4zPG19vx1Q/4hr00h8g==" saltValue="Uf8VUWCXZNRSd8Xd1niltA==" spinCount="100000" sheet="1" objects="1" scenarios="1"/>
  <mergeCells count="11">
    <mergeCell ref="B30:N32"/>
    <mergeCell ref="B33:N35"/>
    <mergeCell ref="B7:M7"/>
    <mergeCell ref="B5:M5"/>
    <mergeCell ref="B6:N6"/>
    <mergeCell ref="B16:M16"/>
    <mergeCell ref="B17:N19"/>
    <mergeCell ref="B10:M10"/>
    <mergeCell ref="B8:M8"/>
    <mergeCell ref="B20:N21"/>
    <mergeCell ref="B29:N29"/>
  </mergeCells>
  <phoneticPr fontId="2"/>
  <pageMargins left="0.70866141732283472" right="0.70866141732283472" top="0.74803149606299213" bottom="0.74803149606299213" header="0.31496062992125984" footer="0.31496062992125984"/>
  <pageSetup paperSize="9" scale="7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59</vt:i4>
      </vt:variant>
    </vt:vector>
  </HeadingPairs>
  <TitlesOfParts>
    <vt:vector size="100" baseType="lpstr">
      <vt:lpstr>【入力】暑さ対策計算シート (2)</vt:lpstr>
      <vt:lpstr>①</vt:lpstr>
      <vt:lpstr>②</vt:lpstr>
      <vt:lpstr>③</vt:lpstr>
      <vt:lpstr>入力</vt:lpstr>
      <vt:lpstr>結果</vt:lpstr>
      <vt:lpstr>原油換算 </vt:lpstr>
      <vt:lpstr>入力値の簡易計算シート</vt:lpstr>
      <vt:lpstr>ヘルプ</vt:lpstr>
      <vt:lpstr>区域</vt:lpstr>
      <vt:lpstr>暑さ対策の提案について</vt:lpstr>
      <vt:lpstr>実効温度差（ETD)諸言</vt:lpstr>
      <vt:lpstr>熱負荷計算シート (2)</vt:lpstr>
      <vt:lpstr>熱貫流率計算</vt:lpstr>
      <vt:lpstr>外壁実効温度差（ETD)一覧表</vt:lpstr>
      <vt:lpstr>標準日射取得量1</vt:lpstr>
      <vt:lpstr>温度条件他根拠</vt:lpstr>
      <vt:lpstr>さいたま市</vt:lpstr>
      <vt:lpstr>さいたま市屋根遮熱</vt:lpstr>
      <vt:lpstr>さいたま市屋根断熱</vt:lpstr>
      <vt:lpstr>さいたま市外壁遮熱</vt:lpstr>
      <vt:lpstr>さいたま市外壁断熱</vt:lpstr>
      <vt:lpstr>さいたま市窓遮熱</vt:lpstr>
      <vt:lpstr>さいたま市窓断熱</vt:lpstr>
      <vt:lpstr>熊谷市</vt:lpstr>
      <vt:lpstr>熊谷市屋根遮熱</vt:lpstr>
      <vt:lpstr>熊谷市屋根断熱</vt:lpstr>
      <vt:lpstr>熊谷市外壁遮熱</vt:lpstr>
      <vt:lpstr>熊谷市外壁断熱</vt:lpstr>
      <vt:lpstr>熊谷市窓遮熱</vt:lpstr>
      <vt:lpstr>熊谷市窓断熱</vt:lpstr>
      <vt:lpstr>秩父市</vt:lpstr>
      <vt:lpstr>秩父市屋根遮熱</vt:lpstr>
      <vt:lpstr>秩父市屋根断熱</vt:lpstr>
      <vt:lpstr>秩父市外壁遮熱</vt:lpstr>
      <vt:lpstr>秩父市外壁断熱</vt:lpstr>
      <vt:lpstr>秩父市窓遮熱</vt:lpstr>
      <vt:lpstr>秩父市窓断熱</vt:lpstr>
      <vt:lpstr>【根拠】日射係数</vt:lpstr>
      <vt:lpstr>（追加）方位別標準時間</vt:lpstr>
      <vt:lpstr>（例示）対策後の熱貫流率計算根拠</vt:lpstr>
      <vt:lpstr>'（追加）方位別標準時間'!Print_Area</vt:lpstr>
      <vt:lpstr>'（例示）対策後の熱貫流率計算根拠'!Print_Area</vt:lpstr>
      <vt:lpstr>【根拠】日射係数!Print_Area</vt:lpstr>
      <vt:lpstr>'【入力】暑さ対策計算シート (2)'!Print_Area</vt:lpstr>
      <vt:lpstr>①!Print_Area</vt:lpstr>
      <vt:lpstr>②!Print_Area</vt:lpstr>
      <vt:lpstr>③!Print_Area</vt:lpstr>
      <vt:lpstr>さいたま市!Print_Area</vt:lpstr>
      <vt:lpstr>さいたま市屋根遮熱!Print_Area</vt:lpstr>
      <vt:lpstr>さいたま市屋根断熱!Print_Area</vt:lpstr>
      <vt:lpstr>さいたま市外壁遮熱!Print_Area</vt:lpstr>
      <vt:lpstr>さいたま市外壁断熱!Print_Area</vt:lpstr>
      <vt:lpstr>さいたま市窓遮熱!Print_Area</vt:lpstr>
      <vt:lpstr>さいたま市窓断熱!Print_Area</vt:lpstr>
      <vt:lpstr>ヘルプ!Print_Area</vt:lpstr>
      <vt:lpstr>温度条件他根拠!Print_Area</vt:lpstr>
      <vt:lpstr>'外壁実効温度差（ETD)一覧表'!Print_Area</vt:lpstr>
      <vt:lpstr>熊谷市!Print_Area</vt:lpstr>
      <vt:lpstr>熊谷市屋根遮熱!Print_Area</vt:lpstr>
      <vt:lpstr>熊谷市屋根断熱!Print_Area</vt:lpstr>
      <vt:lpstr>熊谷市外壁遮熱!Print_Area</vt:lpstr>
      <vt:lpstr>熊谷市外壁断熱!Print_Area</vt:lpstr>
      <vt:lpstr>熊谷市窓遮熱!Print_Area</vt:lpstr>
      <vt:lpstr>熊谷市窓断熱!Print_Area</vt:lpstr>
      <vt:lpstr>結果!Print_Area</vt:lpstr>
      <vt:lpstr>'原油換算 '!Print_Area</vt:lpstr>
      <vt:lpstr>'実効温度差（ETD)諸言'!Print_Area</vt:lpstr>
      <vt:lpstr>暑さ対策の提案について!Print_Area</vt:lpstr>
      <vt:lpstr>秩父市!Print_Area</vt:lpstr>
      <vt:lpstr>秩父市屋根遮熱!Print_Area</vt:lpstr>
      <vt:lpstr>秩父市屋根断熱!Print_Area</vt:lpstr>
      <vt:lpstr>秩父市外壁遮熱!Print_Area</vt:lpstr>
      <vt:lpstr>秩父市外壁断熱!Print_Area</vt:lpstr>
      <vt:lpstr>秩父市窓遮熱!Print_Area</vt:lpstr>
      <vt:lpstr>秩父市窓断熱!Print_Area</vt:lpstr>
      <vt:lpstr>入力!Print_Area</vt:lpstr>
      <vt:lpstr>入力値の簡易計算シート!Print_Area</vt:lpstr>
      <vt:lpstr>熱貫流率計算!Print_Area</vt:lpstr>
      <vt:lpstr>'熱負荷計算シート (2)'!Print_Area</vt:lpstr>
      <vt:lpstr>標準日射取得量1!Print_Area</vt:lpstr>
      <vt:lpstr>サービス業</vt:lpstr>
      <vt:lpstr>医療・福祉</vt:lpstr>
      <vt:lpstr>運輸業・郵便業</vt:lpstr>
      <vt:lpstr>卸売業・小売業</vt:lpstr>
      <vt:lpstr>学術研究・専門・技術サービス業</vt:lpstr>
      <vt:lpstr>漁業</vt:lpstr>
      <vt:lpstr>教育・学習支援業</vt:lpstr>
      <vt:lpstr>金融業・保険業</vt:lpstr>
      <vt:lpstr>建設業</vt:lpstr>
      <vt:lpstr>鉱業・採石業・砂利採取業</vt:lpstr>
      <vt:lpstr>宿泊業・飲食サービス業</vt:lpstr>
      <vt:lpstr>情報通信業</vt:lpstr>
      <vt:lpstr>生活関連サービス業・娯楽業</vt:lpstr>
      <vt:lpstr>製造業</vt:lpstr>
      <vt:lpstr>大分類</vt:lpstr>
      <vt:lpstr>電気・ガス・熱供給・水道業</vt:lpstr>
      <vt:lpstr>農業・林業</vt:lpstr>
      <vt:lpstr>不動産業・物品賃貸業</vt:lpstr>
      <vt:lpstr>複合サービス事業</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暑さ様式2号 シートver.1.02</dc:title>
  <dc:creator/>
  <cp:lastModifiedBy/>
  <dcterms:created xsi:type="dcterms:W3CDTF">2006-09-16T00:00:00Z</dcterms:created>
  <dcterms:modified xsi:type="dcterms:W3CDTF">2022-04-12T05:43:27Z</dcterms:modified>
</cp:coreProperties>
</file>